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<sst xmlns="http://schemas.openxmlformats.org/spreadsheetml/2006/main" count="230" uniqueCount="159">
  <si>
    <t>Stavební rozpočet</t>
  </si>
  <si>
    <t>Název stavby:</t>
  </si>
  <si>
    <t>Doba výstavby: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</si>
  <si>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</si>
  <si>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</si>
  <si>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</si>
  <si>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</si>
  <si>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</si>
  <si>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</si>
  <si>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</si>
  <si>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</si>
  <si>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</si>
  <si>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</si>
  <si>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 xml:space="preserve"> </t>
  </si>
  <si>
    <t>Jednot.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</si>
  <si>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</si>
  <si>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</si>
  <si>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</si>
  <si>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</si>
  <si>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</si>
  <si>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</si>
  <si>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</si>
  <si>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</si>
  <si>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</si>
  <si>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</si>
  <si>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</si>
  <si>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</si>
  <si>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</si>
  <si>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</si>
  <si>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</si>
  <si>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</si>
  <si>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</si>
  <si>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</si>
  <si>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44</t>
  </si>
  <si>
    <t>HS</t>
  </si>
  <si>
    <t>1</t>
  </si>
  <si>
    <t>440351201R00</t>
  </si>
  <si>
    <t>m2</t>
  </si>
  <si>
    <t>2</t>
  </si>
  <si>
    <t>440351202R00</t>
  </si>
  <si>
    <t>712</t>
  </si>
  <si>
    <t>PS</t>
  </si>
  <si>
    <t>3</t>
  </si>
  <si>
    <t>712300831R00</t>
  </si>
  <si>
    <t>713</t>
  </si>
  <si>
    <t>Izolace tepelné</t>
  </si>
  <si>
    <t>4</t>
  </si>
  <si>
    <t>713111211R00</t>
  </si>
  <si>
    <t xml:space="preserve">Montáž parozábrany krovů </t>
  </si>
  <si>
    <t>5</t>
  </si>
  <si>
    <t>713141125R00</t>
  </si>
  <si>
    <t>6</t>
  </si>
  <si>
    <t>713141151R00</t>
  </si>
  <si>
    <t>7</t>
  </si>
  <si>
    <t>713191211R00</t>
  </si>
  <si>
    <t>kpl</t>
  </si>
  <si>
    <t>762</t>
  </si>
  <si>
    <t>Konstrukce tesařské</t>
  </si>
  <si>
    <t>10</t>
  </si>
  <si>
    <t>762342203RT2</t>
  </si>
  <si>
    <t>11</t>
  </si>
  <si>
    <t>762342204RT3</t>
  </si>
  <si>
    <t>Montáž laťování střech, svislé, vzdálenost 100 cm</t>
  </si>
  <si>
    <t>m</t>
  </si>
  <si>
    <t>13</t>
  </si>
  <si>
    <t>762355131RT2</t>
  </si>
  <si>
    <t>764</t>
  </si>
  <si>
    <t>Konstrukce klempířské</t>
  </si>
  <si>
    <t>17</t>
  </si>
  <si>
    <t>764245410R00</t>
  </si>
  <si>
    <t>Demontáž a likvidace stávajících klemp.prvků- lemování komína apod</t>
  </si>
  <si>
    <t>18</t>
  </si>
  <si>
    <t>764248221R00</t>
  </si>
  <si>
    <t>19</t>
  </si>
  <si>
    <t>764261291R00</t>
  </si>
  <si>
    <t>kus</t>
  </si>
  <si>
    <t>20</t>
  </si>
  <si>
    <t>764264720R00</t>
  </si>
  <si>
    <t>ks</t>
  </si>
  <si>
    <t>25</t>
  </si>
  <si>
    <t>764339810R00</t>
  </si>
  <si>
    <t>Montáž plechové krytiny včetně doplňků</t>
  </si>
  <si>
    <t>26</t>
  </si>
  <si>
    <t>764893110RT1</t>
  </si>
  <si>
    <t>27</t>
  </si>
  <si>
    <t>764893111RT3</t>
  </si>
  <si>
    <t>Okap.plech/ hřebenáč</t>
  </si>
  <si>
    <t>28</t>
  </si>
  <si>
    <t>764893113R00</t>
  </si>
  <si>
    <t>Odvětrávač černý</t>
  </si>
  <si>
    <t>29</t>
  </si>
  <si>
    <t>764893114R00</t>
  </si>
  <si>
    <t>role</t>
  </si>
  <si>
    <t>30</t>
  </si>
  <si>
    <t>764893127R00</t>
  </si>
  <si>
    <t>H01</t>
  </si>
  <si>
    <t>Budovy občanské výstavby</t>
  </si>
  <si>
    <t>PR</t>
  </si>
  <si>
    <t>31</t>
  </si>
  <si>
    <t>998011002R00</t>
  </si>
  <si>
    <t>Přesun hmot pro budovy zděné výšky do 12 m</t>
  </si>
  <si>
    <t>t</t>
  </si>
  <si>
    <t>H712</t>
  </si>
  <si>
    <t>32</t>
  </si>
  <si>
    <t>998712102R00</t>
  </si>
  <si>
    <t>H713</t>
  </si>
  <si>
    <t>34</t>
  </si>
  <si>
    <t>998713294R00</t>
  </si>
  <si>
    <t>H764</t>
  </si>
  <si>
    <t>36</t>
  </si>
  <si>
    <t>998764102R00</t>
  </si>
  <si>
    <t>Přesun hmot pro klempířské konstr., výšky do 12 m</t>
  </si>
  <si>
    <t>M21</t>
  </si>
  <si>
    <t>MP</t>
  </si>
  <si>
    <t>37</t>
  </si>
  <si>
    <t>210111022R00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</si>
  <si>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</si>
  <si>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</si>
  <si>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</si>
  <si>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</si>
  <si>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</si>
  <si>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</si>
  <si>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</si>
  <si>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</si>
  <si>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</si>
  <si>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</si>
  <si>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</si>
  <si>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Celkem včetně DPH</t>
  </si>
  <si>
    <t>Projektant</t>
  </si>
  <si>
    <t>Objednatel</t>
  </si>
  <si>
    <t>Zhotovitel</t>
  </si>
  <si>
    <t>Datum, razítko a podpis</t>
  </si>
  <si>
    <t>Výměna střešní krytiny, klemp. prvky, hromosvod, doplňky</t>
  </si>
  <si>
    <t>Bourání, demontáže</t>
  </si>
  <si>
    <t>Odstranění škvárobetonu do suti tl. do 6 cm</t>
  </si>
  <si>
    <t>Odvoz suti na skládku, skládkovné</t>
  </si>
  <si>
    <t>Oplechování atiky včetně čela 30 cm, rš 660 mm</t>
  </si>
  <si>
    <t>Lešení systémové- 2X okapová stěna</t>
  </si>
  <si>
    <t>Polák</t>
  </si>
  <si>
    <t>Výměna střešní krytiny, nadstřešní izolace, klemp. prvky, hromosvod, doplňky</t>
  </si>
  <si>
    <t>Střecha</t>
  </si>
  <si>
    <t>Odstranění falcovaného plechu</t>
  </si>
  <si>
    <t>Likvidace plechové krytiny</t>
  </si>
  <si>
    <t>Elektro</t>
  </si>
  <si>
    <t xml:space="preserve">Parozábrana dodávka </t>
  </si>
  <si>
    <t>Latě 6/4 dodávka impregnované</t>
  </si>
  <si>
    <t>D+M žlab Pz barvený řš 330</t>
  </si>
  <si>
    <t>D+M svod Pz barvený pr 100</t>
  </si>
  <si>
    <t xml:space="preserve">Krytina plechová Pz tl.0,55mm falcovaná RAL 8017, vrchní vrstva min. 35µm </t>
  </si>
  <si>
    <t>Svitek 8m role</t>
  </si>
  <si>
    <t>Lemování komínů celoplechové – montáž, výroba</t>
  </si>
  <si>
    <t>Montář tepelné izolace, kladená na sucho 1vrstvá vč. veškerého příslušenství dle použité technologie</t>
  </si>
  <si>
    <t>Tepelná izolace PIR tl. 16 cm tep. vodivost 0,022W/mk pero+drážka s oboustranně opatřenou Al fólii  a na horní ploše nakašírovanou fólií pro doplňkovou hydroizolaci z polypropylenu se svislými i vodorovnými přesahy</t>
  </si>
  <si>
    <t>Demontáž hromosvodu, montáž nového hromosvodu včetně svodů</t>
  </si>
  <si>
    <t>Montáž laťování střech, vodorovné, vzdálenost latí 22 – 60 cm</t>
  </si>
  <si>
    <t>DPH 21%</t>
  </si>
  <si>
    <t>Cena bez DPH</t>
  </si>
  <si>
    <t>Oprava střechy - Kozinova 177, 344 01 Domažlice</t>
  </si>
  <si>
    <t>Oprava střechy -Kozinova 177, 344 01 Domažlice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</si>
</sst>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/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4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2" fillId="33" borderId="20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" fontId="3" fillId="33" borderId="20" xfId="0" applyNumberFormat="1" applyFont="1" applyFill="1" applyBorder="1" applyAlignment="1" applyProtection="1">
      <alignment horizontal="right" vertical="center"/>
      <protection/>
    </xf>
    <xf numFmtId="49" fontId="3" fillId="33" borderId="2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" fontId="8" fillId="33" borderId="24" xfId="0" applyNumberFormat="1" applyFont="1" applyFill="1" applyBorder="1" applyAlignment="1" applyProtection="1">
      <alignment horizontal="right"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8" fillId="33" borderId="30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49" fontId="8" fillId="0" borderId="31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166" fontId="2" fillId="0" borderId="33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3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9" fontId="2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left" vertical="center"/>
      <protection/>
    </xf>
    <xf numFmtId="166" fontId="2" fillId="0" borderId="38" xfId="0" applyNumberFormat="1" applyFont="1" applyFill="1" applyBorder="1" applyAlignment="1" applyProtection="1">
      <alignment horizontal="left" vertical="center"/>
      <protection/>
    </xf>
    <xf numFmtId="49" fontId="2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K8" sqref="K8"/>
    </sheetView>
  </sheetViews>
  <sheetFormatPr defaultColWidth="11.421875" defaultRowHeight="12.75"/>
  <cols>
    <col min="1" max="1" width="11.42187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11.421875" style="1" customWidth="1"/>
    <col min="8" max="8" width="11.8515625" style="1" customWidth="1"/>
    <col min="9" max="9" width="22.421875" style="1" customWidth="1"/>
  </cols>
  <sheetData>
    <row r="1" spans="1:9" ht="28.5" customHeight="1">
      <c r="A1" s="53" t="s">
        <v>116</v>
      </c>
      <c r="B1" s="53"/>
      <c r="C1" s="53"/>
      <c r="D1" s="53"/>
      <c r="E1" s="53"/>
      <c r="F1" s="53"/>
      <c r="G1" s="53"/>
      <c r="H1" s="53"/>
      <c r="I1" s="53"/>
    </row>
    <row r="2" spans="1:10" ht="12.75">
      <c r="A2" s="54" t="s">
        <v>1</v>
      </c>
      <c r="B2" s="54"/>
      <c r="C2" s="55" t="s">
        <v>158</v>
      </c>
      <c r="D2" s="55"/>
      <c r="E2" s="56" t="s">
        <v>3</v>
      </c>
      <c r="F2" s="56"/>
      <c r="G2" s="56"/>
      <c r="H2" s="56" t="s">
        <v>117</v>
      </c>
      <c r="I2" s="57"/>
      <c r="J2" s="2"/>
    </row>
    <row r="3" spans="1:10" ht="12.75">
      <c r="A3" s="54"/>
      <c r="B3" s="54"/>
      <c r="C3" s="55"/>
      <c r="D3" s="55"/>
      <c r="E3" s="56"/>
      <c r="F3" s="56"/>
      <c r="G3" s="56"/>
      <c r="H3" s="56"/>
      <c r="I3" s="57"/>
      <c r="J3" s="2"/>
    </row>
    <row r="4" spans="1:10" ht="12.75">
      <c r="A4" s="48" t="s">
        <v>4</v>
      </c>
      <c r="B4" s="48"/>
      <c r="C4" s="50" t="s">
        <v>139</v>
      </c>
      <c r="D4" s="50"/>
      <c r="E4" s="50" t="s">
        <v>6</v>
      </c>
      <c r="F4" s="50"/>
      <c r="G4" s="50"/>
      <c r="H4" s="50" t="s">
        <v>117</v>
      </c>
      <c r="I4" s="52"/>
      <c r="J4" s="2"/>
    </row>
    <row r="5" spans="1:10" ht="12.75">
      <c r="A5" s="48"/>
      <c r="B5" s="48"/>
      <c r="C5" s="50"/>
      <c r="D5" s="50"/>
      <c r="E5" s="50"/>
      <c r="F5" s="50"/>
      <c r="G5" s="50"/>
      <c r="H5" s="50"/>
      <c r="I5" s="52"/>
      <c r="J5" s="2"/>
    </row>
    <row r="6" spans="1:10" ht="12.75">
      <c r="A6" s="48" t="s">
        <v>7</v>
      </c>
      <c r="B6" s="48"/>
      <c r="C6" s="50"/>
      <c r="D6" s="50"/>
      <c r="E6" s="50" t="s">
        <v>9</v>
      </c>
      <c r="F6" s="50"/>
      <c r="G6" s="50"/>
      <c r="H6" s="50" t="s">
        <v>117</v>
      </c>
      <c r="I6" s="52"/>
      <c r="J6" s="2"/>
    </row>
    <row r="7" spans="1:10" ht="12.75">
      <c r="A7" s="48"/>
      <c r="B7" s="48"/>
      <c r="C7" s="50"/>
      <c r="D7" s="50"/>
      <c r="E7" s="50"/>
      <c r="F7" s="50"/>
      <c r="G7" s="50"/>
      <c r="H7" s="50"/>
      <c r="I7" s="52"/>
      <c r="J7" s="2"/>
    </row>
    <row r="8" spans="1:10" ht="12.75">
      <c r="A8" s="48" t="s">
        <v>5</v>
      </c>
      <c r="B8" s="48"/>
      <c r="C8" s="49">
        <v>45107</v>
      </c>
      <c r="D8" s="49"/>
      <c r="E8" s="50" t="s">
        <v>8</v>
      </c>
      <c r="F8" s="51"/>
      <c r="G8" s="51"/>
      <c r="H8" s="50" t="s">
        <v>118</v>
      </c>
      <c r="I8" s="52" t="s">
        <v>114</v>
      </c>
      <c r="J8" s="2"/>
    </row>
    <row r="9" spans="1:10" ht="12.75">
      <c r="A9" s="48"/>
      <c r="B9" s="48"/>
      <c r="C9" s="49"/>
      <c r="D9" s="49"/>
      <c r="E9" s="50"/>
      <c r="F9" s="50"/>
      <c r="G9" s="51"/>
      <c r="H9" s="50"/>
      <c r="I9" s="52"/>
      <c r="J9" s="2"/>
    </row>
    <row r="10" spans="1:10" ht="12.75">
      <c r="A10" s="45" t="s">
        <v>10</v>
      </c>
      <c r="B10" s="45"/>
      <c r="C10" s="46"/>
      <c r="D10" s="46"/>
      <c r="E10" s="46" t="s">
        <v>12</v>
      </c>
      <c r="F10" s="46" t="s">
        <v>138</v>
      </c>
      <c r="G10" s="46"/>
      <c r="H10" s="46" t="s">
        <v>119</v>
      </c>
      <c r="I10" s="47">
        <v>45065</v>
      </c>
      <c r="J10" s="2"/>
    </row>
    <row r="11" spans="1:10" ht="12.75">
      <c r="A11" s="45"/>
      <c r="B11" s="45"/>
      <c r="C11" s="46"/>
      <c r="D11" s="46"/>
      <c r="E11" s="46"/>
      <c r="F11" s="46"/>
      <c r="G11" s="46"/>
      <c r="H11" s="46"/>
      <c r="I11" s="47"/>
      <c r="J11" s="2"/>
    </row>
    <row r="12" spans="1:9" ht="23.25" customHeight="1">
      <c r="A12" s="43" t="s">
        <v>120</v>
      </c>
      <c r="B12" s="43"/>
      <c r="C12" s="43"/>
      <c r="D12" s="43"/>
      <c r="E12" s="43"/>
      <c r="F12" s="43"/>
      <c r="G12" s="43"/>
      <c r="H12" s="43"/>
      <c r="I12" s="43"/>
    </row>
    <row r="13" spans="1:10" ht="26.25" customHeight="1">
      <c r="A13" s="29" t="s">
        <v>121</v>
      </c>
      <c r="B13" s="44" t="s">
        <v>122</v>
      </c>
      <c r="C13" s="44"/>
      <c r="D13" s="29" t="s">
        <v>123</v>
      </c>
      <c r="E13" s="44" t="s">
        <v>124</v>
      </c>
      <c r="F13" s="44"/>
      <c r="G13" s="29" t="s">
        <v>125</v>
      </c>
      <c r="H13" s="44" t="s">
        <v>126</v>
      </c>
      <c r="I13" s="44"/>
      <c r="J13" s="2"/>
    </row>
    <row r="14" spans="1:10" ht="15" customHeight="1">
      <c r="A14" s="40"/>
      <c r="B14" s="41"/>
      <c r="C14" s="41"/>
      <c r="D14" s="41"/>
      <c r="E14" s="41"/>
      <c r="F14" s="41"/>
      <c r="G14" s="41"/>
      <c r="H14" s="41"/>
      <c r="I14" s="42"/>
      <c r="J14" s="2"/>
    </row>
    <row r="15" spans="1:10" ht="15" customHeight="1">
      <c r="A15" s="39" t="s">
        <v>156</v>
      </c>
      <c r="B15" s="39"/>
      <c r="C15" s="30">
        <f>'Stavební rozpočet'!H47</f>
        <v>0</v>
      </c>
      <c r="D15" s="39" t="s">
        <v>155</v>
      </c>
      <c r="E15" s="39"/>
      <c r="F15" s="30">
        <f>C15*0.21</f>
        <v>0</v>
      </c>
      <c r="G15" s="39" t="s">
        <v>127</v>
      </c>
      <c r="H15" s="39"/>
      <c r="I15" s="30">
        <f>F15+C15</f>
        <v>0</v>
      </c>
      <c r="J15" s="2"/>
    </row>
    <row r="16" spans="1:9" ht="12.75">
      <c r="A16" s="31"/>
      <c r="B16" s="31"/>
      <c r="C16" s="31"/>
      <c r="D16" s="31"/>
      <c r="E16" s="31"/>
      <c r="F16" s="31"/>
      <c r="G16" s="31"/>
      <c r="H16" s="31"/>
      <c r="I16" s="31"/>
    </row>
    <row r="17" spans="1:10" ht="14.25" customHeight="1">
      <c r="A17" s="38" t="s">
        <v>128</v>
      </c>
      <c r="B17" s="38"/>
      <c r="C17" s="38"/>
      <c r="D17" s="38" t="s">
        <v>129</v>
      </c>
      <c r="E17" s="38"/>
      <c r="F17" s="38"/>
      <c r="G17" s="38" t="s">
        <v>130</v>
      </c>
      <c r="H17" s="38"/>
      <c r="I17" s="38"/>
      <c r="J17" s="7"/>
    </row>
    <row r="18" spans="1:10" ht="14.25" customHeight="1">
      <c r="A18" s="37"/>
      <c r="B18" s="37"/>
      <c r="C18" s="37"/>
      <c r="D18" s="37"/>
      <c r="E18" s="37"/>
      <c r="F18" s="37"/>
      <c r="G18" s="37"/>
      <c r="H18" s="37"/>
      <c r="I18" s="37"/>
      <c r="J18" s="7"/>
    </row>
    <row r="19" spans="1:10" ht="14.25" customHeight="1">
      <c r="A19" s="37"/>
      <c r="B19" s="37"/>
      <c r="C19" s="37"/>
      <c r="D19" s="37"/>
      <c r="E19" s="37"/>
      <c r="F19" s="37"/>
      <c r="G19" s="37"/>
      <c r="H19" s="37"/>
      <c r="I19" s="37"/>
      <c r="J19" s="7"/>
    </row>
    <row r="20" spans="1:10" ht="14.25" customHeight="1">
      <c r="A20" s="37"/>
      <c r="B20" s="37"/>
      <c r="C20" s="37"/>
      <c r="D20" s="37"/>
      <c r="E20" s="37"/>
      <c r="F20" s="37"/>
      <c r="G20" s="37"/>
      <c r="H20" s="37"/>
      <c r="I20" s="37"/>
      <c r="J20" s="7"/>
    </row>
    <row r="21" spans="1:10" ht="14.25" customHeight="1">
      <c r="A21" s="36" t="s">
        <v>131</v>
      </c>
      <c r="B21" s="36"/>
      <c r="C21" s="36"/>
      <c r="D21" s="36" t="s">
        <v>131</v>
      </c>
      <c r="E21" s="36"/>
      <c r="F21" s="36"/>
      <c r="G21" s="36" t="s">
        <v>131</v>
      </c>
      <c r="H21" s="36"/>
      <c r="I21" s="36"/>
      <c r="J21" s="7"/>
    </row>
    <row r="22" spans="1:9" ht="12.75">
      <c r="A22" s="32"/>
      <c r="B22" s="32"/>
      <c r="C22" s="32"/>
      <c r="D22" s="32"/>
      <c r="E22" s="32"/>
      <c r="F22" s="32"/>
      <c r="G22" s="32"/>
      <c r="H22" s="32"/>
      <c r="I22" s="32"/>
    </row>
  </sheetData>
  <sheetProtection/>
  <protectedRanges>
    <protectedRange sqref="F6:G9 I6:I7" name="Oblast3"/>
  </protectedRanges>
  <mergeCells count="5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5:B15"/>
    <mergeCell ref="D15:E15"/>
    <mergeCell ref="G15:H15"/>
    <mergeCell ref="A14:I14"/>
    <mergeCell ref="A12:I12"/>
    <mergeCell ref="B13:C13"/>
    <mergeCell ref="E13:F13"/>
    <mergeCell ref="H13:I13"/>
    <mergeCell ref="A17:C17"/>
    <mergeCell ref="D17:F17"/>
    <mergeCell ref="G17:I17"/>
    <mergeCell ref="A18:C18"/>
    <mergeCell ref="D18:F18"/>
    <mergeCell ref="G18:I18"/>
    <mergeCell ref="A21:C21"/>
    <mergeCell ref="D21:F21"/>
    <mergeCell ref="G21:I21"/>
    <mergeCell ref="A19:C19"/>
    <mergeCell ref="D19:F19"/>
    <mergeCell ref="G19:I19"/>
    <mergeCell ref="A20:C20"/>
    <mergeCell ref="D20:F20"/>
    <mergeCell ref="G20:I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D2" sqref="D2:D3"/>
    </sheetView>
  </sheetViews>
  <sheetFormatPr defaultColWidth="11.421875" defaultRowHeight="12.75"/>
  <cols>
    <col min="1" max="2" width="3.7109375" style="1" customWidth="1"/>
    <col min="3" max="3" width="13.28125" style="1" customWidth="1"/>
    <col min="4" max="4" width="65.28125" style="1" customWidth="1"/>
    <col min="5" max="5" width="4.28125" style="1" customWidth="1"/>
    <col min="6" max="6" width="10.8515625" style="1" customWidth="1"/>
    <col min="7" max="7" width="12.00390625" style="1" customWidth="1"/>
    <col min="8" max="8" width="13.28125" style="1" customWidth="1"/>
    <col min="9" max="10" width="11.7109375" style="1" customWidth="1"/>
    <col min="11" max="11" width="11.421875" style="0" customWidth="1"/>
    <col min="12" max="35" width="0" style="1" hidden="1" customWidth="1"/>
  </cols>
  <sheetData>
    <row r="1" spans="1:10" ht="21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12.75">
      <c r="A2" s="54" t="s">
        <v>1</v>
      </c>
      <c r="B2" s="54"/>
      <c r="C2" s="54"/>
      <c r="D2" s="55" t="s">
        <v>157</v>
      </c>
      <c r="E2" s="56" t="s">
        <v>2</v>
      </c>
      <c r="F2" s="56"/>
      <c r="G2" s="56"/>
      <c r="H2" s="57"/>
      <c r="I2" s="57"/>
      <c r="J2" s="57"/>
      <c r="K2" s="2"/>
    </row>
    <row r="3" spans="1:11" ht="12.75">
      <c r="A3" s="54"/>
      <c r="B3" s="54"/>
      <c r="C3" s="54"/>
      <c r="D3" s="55"/>
      <c r="E3" s="56"/>
      <c r="F3" s="56"/>
      <c r="G3" s="56"/>
      <c r="H3" s="56"/>
      <c r="I3" s="57"/>
      <c r="J3" s="57"/>
      <c r="K3" s="2"/>
    </row>
    <row r="4" spans="1:11" ht="12.75">
      <c r="A4" s="48" t="s">
        <v>4</v>
      </c>
      <c r="B4" s="48"/>
      <c r="C4" s="48"/>
      <c r="D4" s="50" t="s">
        <v>132</v>
      </c>
      <c r="E4" s="50" t="s">
        <v>5</v>
      </c>
      <c r="F4" s="50"/>
      <c r="G4" s="49">
        <v>45080</v>
      </c>
      <c r="H4" s="52"/>
      <c r="I4" s="52"/>
      <c r="J4" s="52"/>
      <c r="K4" s="2"/>
    </row>
    <row r="5" spans="1:11" ht="12.75">
      <c r="A5" s="48"/>
      <c r="B5" s="48"/>
      <c r="C5" s="48"/>
      <c r="D5" s="50"/>
      <c r="E5" s="50"/>
      <c r="F5" s="50"/>
      <c r="G5" s="49"/>
      <c r="H5" s="50"/>
      <c r="I5" s="52"/>
      <c r="J5" s="52"/>
      <c r="K5" s="2"/>
    </row>
    <row r="6" spans="1:11" ht="12.75">
      <c r="A6" s="48" t="s">
        <v>7</v>
      </c>
      <c r="B6" s="48"/>
      <c r="C6" s="48"/>
      <c r="D6" s="50"/>
      <c r="E6" s="50" t="s">
        <v>8</v>
      </c>
      <c r="F6" s="50"/>
      <c r="G6" s="51"/>
      <c r="H6" s="52"/>
      <c r="I6" s="52"/>
      <c r="J6" s="52"/>
      <c r="K6" s="2"/>
    </row>
    <row r="7" spans="1:11" ht="12.75">
      <c r="A7" s="48"/>
      <c r="B7" s="48"/>
      <c r="C7" s="48"/>
      <c r="D7" s="50"/>
      <c r="E7" s="50"/>
      <c r="F7" s="50"/>
      <c r="G7" s="51"/>
      <c r="H7" s="50"/>
      <c r="I7" s="52"/>
      <c r="J7" s="52"/>
      <c r="K7" s="2"/>
    </row>
    <row r="8" spans="1:11" ht="12.75">
      <c r="A8" s="61" t="s">
        <v>10</v>
      </c>
      <c r="B8" s="61"/>
      <c r="C8" s="61"/>
      <c r="D8" s="62"/>
      <c r="E8" s="62" t="s">
        <v>11</v>
      </c>
      <c r="F8" s="62"/>
      <c r="G8" s="63">
        <v>45065</v>
      </c>
      <c r="H8" s="64" t="s">
        <v>138</v>
      </c>
      <c r="I8" s="64"/>
      <c r="J8" s="64"/>
      <c r="K8" s="2"/>
    </row>
    <row r="9" spans="1:11" ht="12.75">
      <c r="A9" s="61"/>
      <c r="B9" s="61"/>
      <c r="C9" s="61"/>
      <c r="D9" s="62"/>
      <c r="E9" s="62"/>
      <c r="F9" s="62"/>
      <c r="G9" s="63"/>
      <c r="H9" s="62"/>
      <c r="I9" s="64"/>
      <c r="J9" s="64"/>
      <c r="K9" s="2"/>
    </row>
    <row r="10" spans="1:11" ht="12.75">
      <c r="A10" s="4" t="s">
        <v>13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6" t="s">
        <v>14</v>
      </c>
      <c r="H10" s="33"/>
      <c r="I10" s="59" t="s">
        <v>15</v>
      </c>
      <c r="J10" s="59"/>
      <c r="K10" s="7"/>
    </row>
    <row r="11" spans="1:22" ht="12.75">
      <c r="A11" s="8" t="s">
        <v>16</v>
      </c>
      <c r="B11" s="9" t="s">
        <v>17</v>
      </c>
      <c r="C11" s="9" t="s">
        <v>18</v>
      </c>
      <c r="D11" s="9" t="s">
        <v>19</v>
      </c>
      <c r="E11" s="9" t="s">
        <v>20</v>
      </c>
      <c r="F11" s="10" t="s">
        <v>21</v>
      </c>
      <c r="G11" s="11" t="s">
        <v>22</v>
      </c>
      <c r="H11" s="13" t="s">
        <v>23</v>
      </c>
      <c r="I11" s="12" t="s">
        <v>14</v>
      </c>
      <c r="J11" s="13" t="s">
        <v>23</v>
      </c>
      <c r="K11" s="7"/>
      <c r="N11" s="14" t="s">
        <v>24</v>
      </c>
      <c r="O11" s="14" t="s">
        <v>25</v>
      </c>
      <c r="P11" s="14" t="s">
        <v>26</v>
      </c>
      <c r="Q11" s="14" t="s">
        <v>27</v>
      </c>
      <c r="R11" s="14" t="s">
        <v>28</v>
      </c>
      <c r="S11" s="14" t="s">
        <v>29</v>
      </c>
      <c r="T11" s="14" t="s">
        <v>30</v>
      </c>
      <c r="U11" s="14" t="s">
        <v>31</v>
      </c>
      <c r="V11" s="14" t="s">
        <v>32</v>
      </c>
    </row>
    <row r="12" spans="1:35" ht="12.75">
      <c r="A12" s="15"/>
      <c r="B12" s="15"/>
      <c r="C12" s="16" t="s">
        <v>33</v>
      </c>
      <c r="D12" s="60" t="s">
        <v>133</v>
      </c>
      <c r="E12" s="60"/>
      <c r="F12" s="60"/>
      <c r="G12" s="60"/>
      <c r="H12" s="17">
        <f>SUM(H13:H14)</f>
        <v>0</v>
      </c>
      <c r="I12" s="18"/>
      <c r="J12" s="17">
        <f>SUM(J13:J14)</f>
        <v>1.01352</v>
      </c>
      <c r="N12" s="19">
        <f>IF(O12="PR",H12,SUM(M13:M14))</f>
        <v>0</v>
      </c>
      <c r="O12" s="14" t="s">
        <v>34</v>
      </c>
      <c r="P12" s="19" t="e">
        <f>IF(O12="HS",#REF!,0)</f>
        <v>#REF!</v>
      </c>
      <c r="Q12" s="19" t="e">
        <f>IF(O12="HS",#REF!-N12,0)</f>
        <v>#REF!</v>
      </c>
      <c r="R12" s="19">
        <f>IF(O12="PS",#REF!,0)</f>
        <v>0</v>
      </c>
      <c r="S12" s="19">
        <f>IF(O12="PS",#REF!-N12,0)</f>
        <v>0</v>
      </c>
      <c r="T12" s="19">
        <f>IF(O12="MP",#REF!,0)</f>
        <v>0</v>
      </c>
      <c r="U12" s="19">
        <f>IF(O12="MP",#REF!-N12,0)</f>
        <v>0</v>
      </c>
      <c r="V12" s="19">
        <f>IF(O12="OM",#REF!,0)</f>
        <v>0</v>
      </c>
      <c r="W12" s="14"/>
      <c r="AG12" s="19">
        <f>SUM(X13:X14)</f>
        <v>0</v>
      </c>
      <c r="AH12" s="19">
        <f>SUM(Y13:Y14)</f>
        <v>0</v>
      </c>
      <c r="AI12" s="19">
        <f>SUM(Z13:Z14)</f>
        <v>0</v>
      </c>
    </row>
    <row r="13" spans="1:30" ht="12.75">
      <c r="A13" s="3" t="s">
        <v>35</v>
      </c>
      <c r="B13" s="3"/>
      <c r="C13" s="3" t="s">
        <v>36</v>
      </c>
      <c r="D13" s="3" t="s">
        <v>134</v>
      </c>
      <c r="E13" s="3" t="s">
        <v>37</v>
      </c>
      <c r="F13" s="20">
        <v>206</v>
      </c>
      <c r="G13" s="20">
        <v>0</v>
      </c>
      <c r="H13" s="20">
        <f>F13*G13</f>
        <v>0</v>
      </c>
      <c r="I13" s="20">
        <v>0.00492</v>
      </c>
      <c r="J13" s="20">
        <f>F13*I13</f>
        <v>1.01352</v>
      </c>
      <c r="L13" s="21" t="s">
        <v>35</v>
      </c>
      <c r="M13" s="20">
        <f>IF(L13="5",#REF!,0)</f>
        <v>0</v>
      </c>
      <c r="X13" s="20">
        <f>IF(AB13=0,H13,0)</f>
        <v>0</v>
      </c>
      <c r="Y13" s="20">
        <f>IF(AB13=10,H13,0)</f>
        <v>0</v>
      </c>
      <c r="Z13" s="20">
        <f>IF(AB13=20,H13,0)</f>
        <v>0</v>
      </c>
      <c r="AB13" s="20">
        <v>10</v>
      </c>
      <c r="AC13" s="20">
        <f>G13*0.182018652088023</f>
        <v>0</v>
      </c>
      <c r="AD13" s="20">
        <f>G13*(1-0.182018652088023)</f>
        <v>0</v>
      </c>
    </row>
    <row r="14" spans="1:30" ht="12.75">
      <c r="A14" s="3" t="s">
        <v>38</v>
      </c>
      <c r="B14" s="3"/>
      <c r="C14" s="3" t="s">
        <v>39</v>
      </c>
      <c r="D14" s="3" t="s">
        <v>135</v>
      </c>
      <c r="E14" s="3" t="s">
        <v>101</v>
      </c>
      <c r="F14" s="20">
        <v>22</v>
      </c>
      <c r="G14" s="20">
        <v>0</v>
      </c>
      <c r="H14" s="20">
        <f>G14*F14</f>
        <v>0</v>
      </c>
      <c r="I14" s="20">
        <v>0</v>
      </c>
      <c r="J14" s="20">
        <f>F14*I14</f>
        <v>0</v>
      </c>
      <c r="L14" s="21" t="s">
        <v>35</v>
      </c>
      <c r="M14" s="20">
        <f>IF(L14="5",#REF!,0)</f>
        <v>0</v>
      </c>
      <c r="X14" s="20">
        <f>IF(AB14=0,H14,0)</f>
        <v>0</v>
      </c>
      <c r="Y14" s="20">
        <f>IF(AB14=10,H14,0)</f>
        <v>0</v>
      </c>
      <c r="Z14" s="20">
        <f>IF(AB14=20,H14,0)</f>
        <v>0</v>
      </c>
      <c r="AB14" s="20">
        <v>10</v>
      </c>
      <c r="AC14" s="20">
        <f>G14*0</f>
        <v>0</v>
      </c>
      <c r="AD14" s="20">
        <f>G14*(1-0)</f>
        <v>0</v>
      </c>
    </row>
    <row r="15" spans="1:35" ht="12.75">
      <c r="A15" s="22"/>
      <c r="B15" s="22"/>
      <c r="C15" s="23" t="s">
        <v>40</v>
      </c>
      <c r="D15" s="58" t="s">
        <v>140</v>
      </c>
      <c r="E15" s="58"/>
      <c r="F15" s="58"/>
      <c r="G15" s="58"/>
      <c r="H15" s="19">
        <f>H16</f>
        <v>0</v>
      </c>
      <c r="I15" s="14"/>
      <c r="J15" s="19">
        <f>SUM(J16:J16)</f>
        <v>2.472</v>
      </c>
      <c r="N15" s="19">
        <f>IF(O15="PR",H15,SUM(M16:M16))</f>
        <v>0</v>
      </c>
      <c r="O15" s="14" t="s">
        <v>41</v>
      </c>
      <c r="P15" s="19">
        <f>IF(O15="HS",#REF!,0)</f>
        <v>0</v>
      </c>
      <c r="Q15" s="19">
        <f>IF(O15="HS",#REF!-N15,0)</f>
        <v>0</v>
      </c>
      <c r="R15" s="19" t="e">
        <f>IF(O15="PS",#REF!,0)</f>
        <v>#REF!</v>
      </c>
      <c r="S15" s="19" t="e">
        <f>IF(O15="PS",#REF!-N15,0)</f>
        <v>#REF!</v>
      </c>
      <c r="T15" s="19">
        <f>IF(O15="MP",#REF!,0)</f>
        <v>0</v>
      </c>
      <c r="U15" s="19">
        <f>IF(O15="MP",#REF!-N15,0)</f>
        <v>0</v>
      </c>
      <c r="V15" s="19">
        <f>IF(O15="OM",#REF!,0)</f>
        <v>0</v>
      </c>
      <c r="W15" s="14"/>
      <c r="AG15" s="19">
        <f>SUM(X16:X16)</f>
        <v>0</v>
      </c>
      <c r="AH15" s="19">
        <f>SUM(Y16:Y16)</f>
        <v>0</v>
      </c>
      <c r="AI15" s="19">
        <f>SUM(Z16:Z16)</f>
        <v>0</v>
      </c>
    </row>
    <row r="16" spans="1:30" ht="12.75">
      <c r="A16" s="3" t="s">
        <v>42</v>
      </c>
      <c r="B16" s="3"/>
      <c r="C16" s="3" t="s">
        <v>43</v>
      </c>
      <c r="D16" s="3" t="s">
        <v>141</v>
      </c>
      <c r="E16" s="3" t="s">
        <v>37</v>
      </c>
      <c r="F16" s="20">
        <v>412</v>
      </c>
      <c r="G16" s="20">
        <v>0</v>
      </c>
      <c r="H16" s="20">
        <f>G16*F16</f>
        <v>0</v>
      </c>
      <c r="I16" s="20">
        <v>0.006</v>
      </c>
      <c r="J16" s="20">
        <f>F16*I16</f>
        <v>2.472</v>
      </c>
      <c r="L16" s="21" t="s">
        <v>35</v>
      </c>
      <c r="M16" s="20">
        <f>IF(L16="5",#REF!,0)</f>
        <v>0</v>
      </c>
      <c r="X16" s="20">
        <f>IF(AB16=0,H16,0)</f>
        <v>0</v>
      </c>
      <c r="Y16" s="20">
        <f>IF(AB16=10,H16,0)</f>
        <v>0</v>
      </c>
      <c r="Z16" s="20">
        <f>IF(AB16=20,H16,0)</f>
        <v>0</v>
      </c>
      <c r="AB16" s="20">
        <v>10</v>
      </c>
      <c r="AC16" s="20">
        <f>G16*0</f>
        <v>0</v>
      </c>
      <c r="AD16" s="20">
        <f>G16*(1-0)</f>
        <v>0</v>
      </c>
    </row>
    <row r="17" spans="1:35" ht="12.75">
      <c r="A17" s="22"/>
      <c r="B17" s="22"/>
      <c r="C17" s="23" t="s">
        <v>44</v>
      </c>
      <c r="D17" s="58" t="s">
        <v>45</v>
      </c>
      <c r="E17" s="58"/>
      <c r="F17" s="58"/>
      <c r="G17" s="58"/>
      <c r="H17" s="19">
        <f>SUM(H18:H21)</f>
        <v>0</v>
      </c>
      <c r="I17" s="14"/>
      <c r="J17" s="19">
        <f>SUM(J18:J21)</f>
        <v>0.15655999999999998</v>
      </c>
      <c r="N17" s="19">
        <f>IF(O17="PR",H17,SUM(M18:M21))</f>
        <v>0</v>
      </c>
      <c r="O17" s="14" t="s">
        <v>41</v>
      </c>
      <c r="P17" s="19">
        <f>IF(O17="HS",#REF!,0)</f>
        <v>0</v>
      </c>
      <c r="Q17" s="19">
        <f>IF(O17="HS",#REF!-N17,0)</f>
        <v>0</v>
      </c>
      <c r="R17" s="19" t="e">
        <f>IF(O17="PS",#REF!,0)</f>
        <v>#REF!</v>
      </c>
      <c r="S17" s="19" t="e">
        <f>IF(O17="PS",#REF!-N17,0)</f>
        <v>#REF!</v>
      </c>
      <c r="T17" s="19">
        <f>IF(O17="MP",#REF!,0)</f>
        <v>0</v>
      </c>
      <c r="U17" s="19">
        <f>IF(O17="MP",#REF!-N17,0)</f>
        <v>0</v>
      </c>
      <c r="V17" s="19">
        <f>IF(O17="OM",#REF!,0)</f>
        <v>0</v>
      </c>
      <c r="W17" s="14"/>
      <c r="AG17" s="19">
        <f>SUM(X18:X21)</f>
        <v>0</v>
      </c>
      <c r="AH17" s="19">
        <f>SUM(Y18:Y21)</f>
        <v>0</v>
      </c>
      <c r="AI17" s="19">
        <f>SUM(Z18:Z21)</f>
        <v>0</v>
      </c>
    </row>
    <row r="18" spans="1:30" ht="12.75">
      <c r="A18" s="3" t="s">
        <v>46</v>
      </c>
      <c r="B18" s="3"/>
      <c r="C18" s="3" t="s">
        <v>47</v>
      </c>
      <c r="D18" s="3" t="s">
        <v>48</v>
      </c>
      <c r="E18" s="3" t="s">
        <v>37</v>
      </c>
      <c r="F18" s="20">
        <v>206</v>
      </c>
      <c r="G18" s="20">
        <v>0</v>
      </c>
      <c r="H18" s="20">
        <f>G18*F18</f>
        <v>0</v>
      </c>
      <c r="I18" s="20">
        <v>2E-05</v>
      </c>
      <c r="J18" s="20">
        <f>F18*I18</f>
        <v>0.00412</v>
      </c>
      <c r="L18" s="21" t="s">
        <v>35</v>
      </c>
      <c r="M18" s="20">
        <f>IF(L18="5",#REF!,0)</f>
        <v>0</v>
      </c>
      <c r="X18" s="20">
        <f>IF(AB18=0,H18,0)</f>
        <v>0</v>
      </c>
      <c r="Y18" s="20">
        <f>IF(AB18=10,H18,0)</f>
        <v>0</v>
      </c>
      <c r="Z18" s="20">
        <f>IF(AB18=20,H18,0)</f>
        <v>0</v>
      </c>
      <c r="AB18" s="20">
        <v>10</v>
      </c>
      <c r="AC18" s="20">
        <f>G18*0.160334457972715</f>
        <v>0</v>
      </c>
      <c r="AD18" s="20">
        <f>G18*(1-0.160334457972715)</f>
        <v>0</v>
      </c>
    </row>
    <row r="19" spans="1:30" ht="12.75">
      <c r="A19" s="3" t="s">
        <v>49</v>
      </c>
      <c r="B19" s="3"/>
      <c r="C19" s="3" t="s">
        <v>50</v>
      </c>
      <c r="D19" s="3" t="s">
        <v>144</v>
      </c>
      <c r="E19" s="3" t="s">
        <v>37</v>
      </c>
      <c r="F19" s="20">
        <v>206</v>
      </c>
      <c r="G19" s="20">
        <v>0</v>
      </c>
      <c r="H19" s="20">
        <f>G19*F19</f>
        <v>0</v>
      </c>
      <c r="I19" s="20">
        <v>0.00031</v>
      </c>
      <c r="J19" s="20">
        <f>F19*I19</f>
        <v>0.06386</v>
      </c>
      <c r="L19" s="21" t="s">
        <v>35</v>
      </c>
      <c r="M19" s="20">
        <f>IF(L19="5",#REF!,0)</f>
        <v>0</v>
      </c>
      <c r="X19" s="20">
        <f>IF(AB19=0,H19,0)</f>
        <v>0</v>
      </c>
      <c r="Y19" s="20">
        <f>IF(AB19=10,H19,0)</f>
        <v>0</v>
      </c>
      <c r="Z19" s="20">
        <f>IF(AB19=20,H19,0)</f>
        <v>0</v>
      </c>
      <c r="AB19" s="20">
        <v>10</v>
      </c>
      <c r="AC19" s="20">
        <f>G19*0.363612881005683</f>
        <v>0</v>
      </c>
      <c r="AD19" s="20">
        <f>G19*(1-0.363612881005683)</f>
        <v>0</v>
      </c>
    </row>
    <row r="20" spans="1:30" ht="28.5" customHeight="1">
      <c r="A20" s="3" t="s">
        <v>51</v>
      </c>
      <c r="B20" s="3"/>
      <c r="C20" s="3" t="s">
        <v>52</v>
      </c>
      <c r="D20" s="34" t="s">
        <v>151</v>
      </c>
      <c r="E20" s="3" t="s">
        <v>37</v>
      </c>
      <c r="F20" s="20">
        <v>206</v>
      </c>
      <c r="G20" s="20">
        <v>0</v>
      </c>
      <c r="H20" s="20">
        <f>G20*F20</f>
        <v>0</v>
      </c>
      <c r="I20" s="20">
        <v>0</v>
      </c>
      <c r="J20" s="20">
        <f>F20*I20</f>
        <v>0</v>
      </c>
      <c r="L20" s="21" t="s">
        <v>35</v>
      </c>
      <c r="M20" s="20">
        <f>IF(L20="5",#REF!,0)</f>
        <v>0</v>
      </c>
      <c r="X20" s="20">
        <f>IF(AB20=0,H20,0)</f>
        <v>0</v>
      </c>
      <c r="Y20" s="20">
        <f>IF(AB20=10,H20,0)</f>
        <v>0</v>
      </c>
      <c r="Z20" s="20">
        <f>IF(AB20=20,H20,0)</f>
        <v>0</v>
      </c>
      <c r="AB20" s="20">
        <v>10</v>
      </c>
      <c r="AC20" s="20">
        <f>G20*0</f>
        <v>0</v>
      </c>
      <c r="AD20" s="20">
        <f>G20*(1-0)</f>
        <v>0</v>
      </c>
    </row>
    <row r="21" spans="1:30" ht="38.25">
      <c r="A21" s="3" t="s">
        <v>53</v>
      </c>
      <c r="B21" s="3"/>
      <c r="C21" s="3" t="s">
        <v>54</v>
      </c>
      <c r="D21" s="35" t="s">
        <v>152</v>
      </c>
      <c r="E21" s="3" t="s">
        <v>37</v>
      </c>
      <c r="F21" s="20">
        <v>206</v>
      </c>
      <c r="G21" s="20">
        <v>0</v>
      </c>
      <c r="H21" s="20">
        <f>G21*F21</f>
        <v>0</v>
      </c>
      <c r="I21" s="20">
        <v>0.00043</v>
      </c>
      <c r="J21" s="20">
        <f>F21*I21</f>
        <v>0.08857999999999999</v>
      </c>
      <c r="L21" s="21" t="s">
        <v>35</v>
      </c>
      <c r="M21" s="20">
        <f>IF(L21="5",#REF!,0)</f>
        <v>0</v>
      </c>
      <c r="X21" s="20">
        <f>IF(AB21=0,H21,0)</f>
        <v>0</v>
      </c>
      <c r="Y21" s="20">
        <f>IF(AB21=10,H21,0)</f>
        <v>0</v>
      </c>
      <c r="Z21" s="20">
        <f>IF(AB21=20,H21,0)</f>
        <v>0</v>
      </c>
      <c r="AB21" s="20">
        <v>10</v>
      </c>
      <c r="AC21" s="20">
        <f>G21*0.109266024576553</f>
        <v>0</v>
      </c>
      <c r="AD21" s="20">
        <f>G21*(1-0.109266024576553)</f>
        <v>0</v>
      </c>
    </row>
    <row r="22" spans="1:35" ht="12.75">
      <c r="A22" s="22"/>
      <c r="B22" s="22"/>
      <c r="C22" s="23" t="s">
        <v>56</v>
      </c>
      <c r="D22" s="58" t="s">
        <v>57</v>
      </c>
      <c r="E22" s="58"/>
      <c r="F22" s="58"/>
      <c r="G22" s="58"/>
      <c r="H22" s="19">
        <f>SUM(H23:H25)</f>
        <v>0</v>
      </c>
      <c r="I22" s="14"/>
      <c r="J22" s="19">
        <f>SUM(J23:J25)</f>
        <v>39.786840000000005</v>
      </c>
      <c r="N22" s="19">
        <f>IF(O22="PR",H22,SUM(M23:M25))</f>
        <v>0</v>
      </c>
      <c r="O22" s="14" t="s">
        <v>41</v>
      </c>
      <c r="P22" s="19">
        <f>IF(O22="HS",#REF!,0)</f>
        <v>0</v>
      </c>
      <c r="Q22" s="19">
        <f>IF(O22="HS",#REF!-N22,0)</f>
        <v>0</v>
      </c>
      <c r="R22" s="19" t="e">
        <f>IF(O22="PS",#REF!,0)</f>
        <v>#REF!</v>
      </c>
      <c r="S22" s="19" t="e">
        <f>IF(O22="PS",#REF!-N22,0)</f>
        <v>#REF!</v>
      </c>
      <c r="T22" s="19">
        <f>IF(O22="MP",#REF!,0)</f>
        <v>0</v>
      </c>
      <c r="U22" s="19">
        <f>IF(O22="MP",#REF!-N22,0)</f>
        <v>0</v>
      </c>
      <c r="V22" s="19">
        <f>IF(O22="OM",#REF!,0)</f>
        <v>0</v>
      </c>
      <c r="W22" s="14"/>
      <c r="AG22" s="19">
        <f>SUM(X23:X25)</f>
        <v>0</v>
      </c>
      <c r="AH22" s="19">
        <f>SUM(Y23:Y25)</f>
        <v>0</v>
      </c>
      <c r="AI22" s="19">
        <f>SUM(Z23:Z25)</f>
        <v>0</v>
      </c>
    </row>
    <row r="23" spans="1:30" ht="12.75">
      <c r="A23" s="3" t="s">
        <v>58</v>
      </c>
      <c r="B23" s="3"/>
      <c r="C23" s="3" t="s">
        <v>59</v>
      </c>
      <c r="D23" s="3" t="s">
        <v>154</v>
      </c>
      <c r="E23" s="3" t="s">
        <v>37</v>
      </c>
      <c r="F23" s="20">
        <v>206</v>
      </c>
      <c r="G23" s="20">
        <v>0</v>
      </c>
      <c r="H23" s="20">
        <f>G23*F23</f>
        <v>0</v>
      </c>
      <c r="I23" s="20">
        <v>0.00275</v>
      </c>
      <c r="J23" s="20">
        <f>F23*I23</f>
        <v>0.5665</v>
      </c>
      <c r="L23" s="21" t="s">
        <v>35</v>
      </c>
      <c r="M23" s="20">
        <f>IF(L23="5",#REF!,0)</f>
        <v>0</v>
      </c>
      <c r="X23" s="20">
        <f>IF(AB23=0,H23,0)</f>
        <v>0</v>
      </c>
      <c r="Y23" s="20">
        <f>IF(AB23=10,H23,0)</f>
        <v>0</v>
      </c>
      <c r="Z23" s="20">
        <f>IF(AB23=20,H23,0)</f>
        <v>0</v>
      </c>
      <c r="AB23" s="20">
        <v>10</v>
      </c>
      <c r="AC23" s="20">
        <f>G23*0.420376212174319</f>
        <v>0</v>
      </c>
      <c r="AD23" s="20">
        <f>G23*(1-0.420376212174319)</f>
        <v>0</v>
      </c>
    </row>
    <row r="24" spans="1:30" ht="12.75">
      <c r="A24" s="3" t="s">
        <v>60</v>
      </c>
      <c r="B24" s="3"/>
      <c r="C24" s="3" t="s">
        <v>61</v>
      </c>
      <c r="D24" s="3" t="s">
        <v>62</v>
      </c>
      <c r="E24" s="3" t="s">
        <v>37</v>
      </c>
      <c r="F24" s="20">
        <v>206</v>
      </c>
      <c r="G24" s="20">
        <v>0</v>
      </c>
      <c r="H24" s="20">
        <f>G24*F24</f>
        <v>0</v>
      </c>
      <c r="I24" s="20">
        <v>0.00151</v>
      </c>
      <c r="J24" s="20">
        <f>F24*I24</f>
        <v>0.31106</v>
      </c>
      <c r="L24" s="21" t="s">
        <v>35</v>
      </c>
      <c r="M24" s="20">
        <f>IF(L24="5",#REF!,0)</f>
        <v>0</v>
      </c>
      <c r="X24" s="20">
        <f>IF(AB24=0,H24,0)</f>
        <v>0</v>
      </c>
      <c r="Y24" s="20">
        <f>IF(AB24=10,H24,0)</f>
        <v>0</v>
      </c>
      <c r="Z24" s="20">
        <f>IF(AB24=20,H24,0)</f>
        <v>0</v>
      </c>
      <c r="AB24" s="20">
        <v>10</v>
      </c>
      <c r="AC24" s="20">
        <f>G24*0.530990072444325</f>
        <v>0</v>
      </c>
      <c r="AD24" s="20">
        <f>G24*(1-0.530990072444325)</f>
        <v>0</v>
      </c>
    </row>
    <row r="25" spans="1:30" ht="12.75">
      <c r="A25" s="3" t="s">
        <v>64</v>
      </c>
      <c r="B25" s="3"/>
      <c r="C25" s="3" t="s">
        <v>65</v>
      </c>
      <c r="D25" s="3" t="s">
        <v>145</v>
      </c>
      <c r="E25" s="3" t="s">
        <v>63</v>
      </c>
      <c r="F25" s="20">
        <v>1236</v>
      </c>
      <c r="G25" s="20">
        <v>0</v>
      </c>
      <c r="H25" s="20">
        <f>G25*F25</f>
        <v>0</v>
      </c>
      <c r="I25" s="20">
        <v>0.03148</v>
      </c>
      <c r="J25" s="20">
        <f>F25*I25</f>
        <v>38.90928</v>
      </c>
      <c r="L25" s="21" t="s">
        <v>35</v>
      </c>
      <c r="M25" s="20">
        <f>IF(L25="5",#REF!,0)</f>
        <v>0</v>
      </c>
      <c r="X25" s="20">
        <f>IF(AB25=0,H25,0)</f>
        <v>0</v>
      </c>
      <c r="Y25" s="20">
        <f>IF(AB25=10,H25,0)</f>
        <v>0</v>
      </c>
      <c r="Z25" s="20">
        <f>IF(AB25=20,H25,0)</f>
        <v>0</v>
      </c>
      <c r="AB25" s="20">
        <v>10</v>
      </c>
      <c r="AC25" s="20">
        <f>G25*0.62895754240535</f>
        <v>0</v>
      </c>
      <c r="AD25" s="20">
        <f>G25*(1-0.62895754240535)</f>
        <v>0</v>
      </c>
    </row>
    <row r="26" spans="1:35" ht="12.75">
      <c r="A26" s="22"/>
      <c r="B26" s="22"/>
      <c r="C26" s="23" t="s">
        <v>66</v>
      </c>
      <c r="D26" s="58" t="s">
        <v>67</v>
      </c>
      <c r="E26" s="58"/>
      <c r="F26" s="58"/>
      <c r="G26" s="58"/>
      <c r="H26" s="19">
        <f>SUM(H27:H36)</f>
        <v>0</v>
      </c>
      <c r="I26" s="14"/>
      <c r="J26" s="19">
        <f>SUM(J27:J36)</f>
        <v>4.2912799999999995</v>
      </c>
      <c r="N26" s="19">
        <f>IF(O26="PR",H26,SUM(M27:M36))</f>
        <v>0</v>
      </c>
      <c r="O26" s="14" t="s">
        <v>41</v>
      </c>
      <c r="P26" s="19">
        <f>IF(O26="HS",#REF!,0)</f>
        <v>0</v>
      </c>
      <c r="Q26" s="19">
        <f>IF(O26="HS",#REF!-N26,0)</f>
        <v>0</v>
      </c>
      <c r="R26" s="19" t="e">
        <f>IF(O26="PS",#REF!,0)</f>
        <v>#REF!</v>
      </c>
      <c r="S26" s="19" t="e">
        <f>IF(O26="PS",#REF!-N26,0)</f>
        <v>#REF!</v>
      </c>
      <c r="T26" s="19">
        <f>IF(O26="MP",#REF!,0)</f>
        <v>0</v>
      </c>
      <c r="U26" s="19">
        <f>IF(O26="MP",#REF!-N26,0)</f>
        <v>0</v>
      </c>
      <c r="V26" s="19">
        <f>IF(O26="OM",#REF!,0)</f>
        <v>0</v>
      </c>
      <c r="W26" s="14"/>
      <c r="AG26" s="19">
        <f>SUM(X27:X36)</f>
        <v>0</v>
      </c>
      <c r="AH26" s="19">
        <f>SUM(Y27:Y36)</f>
        <v>0</v>
      </c>
      <c r="AI26" s="19">
        <f>SUM(Z27:Z36)</f>
        <v>0</v>
      </c>
    </row>
    <row r="27" spans="1:30" ht="12.75">
      <c r="A27" s="3" t="s">
        <v>68</v>
      </c>
      <c r="B27" s="3"/>
      <c r="C27" s="3" t="s">
        <v>69</v>
      </c>
      <c r="D27" s="3" t="s">
        <v>70</v>
      </c>
      <c r="E27" s="3" t="s">
        <v>55</v>
      </c>
      <c r="F27" s="20">
        <v>1</v>
      </c>
      <c r="G27" s="20">
        <v>0</v>
      </c>
      <c r="H27" s="20">
        <f>G27*F27</f>
        <v>0</v>
      </c>
      <c r="I27" s="20">
        <v>0.00538</v>
      </c>
      <c r="J27" s="20">
        <f aca="true" t="shared" si="0" ref="J27:J36">F27*I27</f>
        <v>0.00538</v>
      </c>
      <c r="L27" s="21" t="s">
        <v>35</v>
      </c>
      <c r="M27" s="20">
        <f>IF(L27="5",#REF!,0)</f>
        <v>0</v>
      </c>
      <c r="X27" s="20">
        <f>IF(AB27=0,H27,0)</f>
        <v>0</v>
      </c>
      <c r="Y27" s="20">
        <f>IF(AB27=10,H27,0)</f>
        <v>0</v>
      </c>
      <c r="Z27" s="20">
        <f>IF(AB27=20,H27,0)</f>
        <v>0</v>
      </c>
      <c r="AB27" s="20">
        <v>10</v>
      </c>
      <c r="AC27" s="20">
        <f>G27*0.607642342118349</f>
        <v>0</v>
      </c>
      <c r="AD27" s="20">
        <f>G27*(1-0.607642342118349)</f>
        <v>0</v>
      </c>
    </row>
    <row r="28" spans="1:30" ht="12.75">
      <c r="A28" s="3" t="s">
        <v>71</v>
      </c>
      <c r="B28" s="3"/>
      <c r="C28" s="3" t="s">
        <v>72</v>
      </c>
      <c r="D28" s="3" t="s">
        <v>146</v>
      </c>
      <c r="E28" s="3" t="s">
        <v>63</v>
      </c>
      <c r="F28" s="20">
        <v>120</v>
      </c>
      <c r="G28" s="20">
        <v>0</v>
      </c>
      <c r="H28" s="20">
        <f aca="true" t="shared" si="1" ref="H28:H36">G28*F28</f>
        <v>0</v>
      </c>
      <c r="I28" s="20">
        <v>0.00388</v>
      </c>
      <c r="J28" s="20">
        <f t="shared" si="0"/>
        <v>0.4656</v>
      </c>
      <c r="L28" s="21" t="s">
        <v>35</v>
      </c>
      <c r="M28" s="20">
        <f>IF(L28="5",#REF!,0)</f>
        <v>0</v>
      </c>
      <c r="X28" s="20">
        <f aca="true" t="shared" si="2" ref="X28:X36">IF(AB28=0,H28,0)</f>
        <v>0</v>
      </c>
      <c r="Y28" s="20">
        <f aca="true" t="shared" si="3" ref="Y28:Y36">IF(AB28=10,H28,0)</f>
        <v>0</v>
      </c>
      <c r="Z28" s="20">
        <f aca="true" t="shared" si="4" ref="Z28:Z36">IF(AB28=20,H28,0)</f>
        <v>0</v>
      </c>
      <c r="AB28" s="20">
        <v>10</v>
      </c>
      <c r="AC28" s="20">
        <f>G28*0.799052487466635</f>
        <v>0</v>
      </c>
      <c r="AD28" s="20">
        <f>G28*(1-0.799052487466635)</f>
        <v>0</v>
      </c>
    </row>
    <row r="29" spans="1:30" ht="12.75">
      <c r="A29" s="3" t="s">
        <v>73</v>
      </c>
      <c r="B29" s="3"/>
      <c r="C29" s="3" t="s">
        <v>74</v>
      </c>
      <c r="D29" s="3" t="s">
        <v>147</v>
      </c>
      <c r="E29" s="3" t="s">
        <v>63</v>
      </c>
      <c r="F29" s="20">
        <v>20</v>
      </c>
      <c r="G29" s="20">
        <v>0</v>
      </c>
      <c r="H29" s="20">
        <f t="shared" si="1"/>
        <v>0</v>
      </c>
      <c r="I29" s="20">
        <v>0.00094</v>
      </c>
      <c r="J29" s="20">
        <f t="shared" si="0"/>
        <v>0.0188</v>
      </c>
      <c r="L29" s="21" t="s">
        <v>35</v>
      </c>
      <c r="M29" s="20">
        <f>IF(L29="5",#REF!,0)</f>
        <v>0</v>
      </c>
      <c r="X29" s="20">
        <f t="shared" si="2"/>
        <v>0</v>
      </c>
      <c r="Y29" s="20">
        <f t="shared" si="3"/>
        <v>0</v>
      </c>
      <c r="Z29" s="20">
        <f t="shared" si="4"/>
        <v>0</v>
      </c>
      <c r="AB29" s="20">
        <v>10</v>
      </c>
      <c r="AC29" s="20">
        <f>G29*0.668243243243243</f>
        <v>0</v>
      </c>
      <c r="AD29" s="20">
        <f>G29*(1-0.668243243243243)</f>
        <v>0</v>
      </c>
    </row>
    <row r="30" spans="1:30" ht="12.75">
      <c r="A30" s="3" t="s">
        <v>76</v>
      </c>
      <c r="B30" s="3"/>
      <c r="C30" s="3" t="s">
        <v>77</v>
      </c>
      <c r="D30" s="3" t="s">
        <v>136</v>
      </c>
      <c r="E30" s="3" t="s">
        <v>63</v>
      </c>
      <c r="F30" s="20">
        <v>24</v>
      </c>
      <c r="G30" s="20">
        <v>0</v>
      </c>
      <c r="H30" s="20">
        <f t="shared" si="1"/>
        <v>0</v>
      </c>
      <c r="I30" s="20">
        <v>0.01149</v>
      </c>
      <c r="J30" s="20">
        <f t="shared" si="0"/>
        <v>0.27576</v>
      </c>
      <c r="L30" s="21" t="s">
        <v>35</v>
      </c>
      <c r="M30" s="20">
        <f>IF(L30="5",#REF!,0)</f>
        <v>0</v>
      </c>
      <c r="X30" s="20">
        <f t="shared" si="2"/>
        <v>0</v>
      </c>
      <c r="Y30" s="20">
        <f t="shared" si="3"/>
        <v>0</v>
      </c>
      <c r="Z30" s="20">
        <f t="shared" si="4"/>
        <v>0</v>
      </c>
      <c r="AB30" s="20">
        <v>10</v>
      </c>
      <c r="AC30" s="20">
        <f>G30*0.521897956725944</f>
        <v>0</v>
      </c>
      <c r="AD30" s="20">
        <f>G30*(1-0.521897956725944)</f>
        <v>0</v>
      </c>
    </row>
    <row r="31" spans="1:30" ht="12.75">
      <c r="A31" s="3" t="s">
        <v>79</v>
      </c>
      <c r="B31" s="3"/>
      <c r="C31" s="3" t="s">
        <v>80</v>
      </c>
      <c r="D31" s="3" t="s">
        <v>81</v>
      </c>
      <c r="E31" s="3" t="s">
        <v>37</v>
      </c>
      <c r="F31" s="20">
        <v>206</v>
      </c>
      <c r="G31" s="20">
        <v>0</v>
      </c>
      <c r="H31" s="20">
        <f t="shared" si="1"/>
        <v>0</v>
      </c>
      <c r="I31" s="20">
        <v>0.00721</v>
      </c>
      <c r="J31" s="20">
        <f t="shared" si="0"/>
        <v>1.48526</v>
      </c>
      <c r="L31" s="21" t="s">
        <v>35</v>
      </c>
      <c r="M31" s="20">
        <f>IF(L31="5",#REF!,0)</f>
        <v>0</v>
      </c>
      <c r="X31" s="20">
        <f t="shared" si="2"/>
        <v>0</v>
      </c>
      <c r="Y31" s="20">
        <f t="shared" si="3"/>
        <v>0</v>
      </c>
      <c r="Z31" s="20">
        <f t="shared" si="4"/>
        <v>0</v>
      </c>
      <c r="AB31" s="20">
        <v>10</v>
      </c>
      <c r="AC31" s="20">
        <f>G31*0</f>
        <v>0</v>
      </c>
      <c r="AD31" s="20">
        <f>G31*(1-0)</f>
        <v>0</v>
      </c>
    </row>
    <row r="32" spans="1:30" ht="12.75">
      <c r="A32" s="3" t="s">
        <v>82</v>
      </c>
      <c r="B32" s="3"/>
      <c r="C32" s="3" t="s">
        <v>83</v>
      </c>
      <c r="D32" s="3" t="s">
        <v>148</v>
      </c>
      <c r="E32" s="3" t="s">
        <v>37</v>
      </c>
      <c r="F32" s="20">
        <v>206</v>
      </c>
      <c r="G32" s="20">
        <v>0</v>
      </c>
      <c r="H32" s="20">
        <f t="shared" si="1"/>
        <v>0</v>
      </c>
      <c r="I32" s="20">
        <v>0.00841</v>
      </c>
      <c r="J32" s="20">
        <f t="shared" si="0"/>
        <v>1.73246</v>
      </c>
      <c r="L32" s="21" t="s">
        <v>35</v>
      </c>
      <c r="M32" s="20">
        <f>IF(L32="5",#REF!,0)</f>
        <v>0</v>
      </c>
      <c r="X32" s="20">
        <f t="shared" si="2"/>
        <v>0</v>
      </c>
      <c r="Y32" s="20">
        <f t="shared" si="3"/>
        <v>0</v>
      </c>
      <c r="Z32" s="20">
        <f t="shared" si="4"/>
        <v>0</v>
      </c>
      <c r="AB32" s="20">
        <v>10</v>
      </c>
      <c r="AC32" s="20">
        <f>G32*0.654375643768323</f>
        <v>0</v>
      </c>
      <c r="AD32" s="20">
        <f>G32*(1-0.654375643768323)</f>
        <v>0</v>
      </c>
    </row>
    <row r="33" spans="1:30" ht="12.75">
      <c r="A33" s="3" t="s">
        <v>84</v>
      </c>
      <c r="B33" s="3"/>
      <c r="C33" s="3" t="s">
        <v>85</v>
      </c>
      <c r="D33" s="3" t="s">
        <v>86</v>
      </c>
      <c r="E33" s="3" t="s">
        <v>63</v>
      </c>
      <c r="F33" s="20">
        <v>54</v>
      </c>
      <c r="G33" s="20">
        <v>0</v>
      </c>
      <c r="H33" s="20">
        <f t="shared" si="1"/>
        <v>0</v>
      </c>
      <c r="I33" s="20">
        <v>0.0041</v>
      </c>
      <c r="J33" s="20">
        <f t="shared" si="0"/>
        <v>0.2214</v>
      </c>
      <c r="L33" s="21" t="s">
        <v>35</v>
      </c>
      <c r="M33" s="20">
        <f>IF(L33="5",#REF!,0)</f>
        <v>0</v>
      </c>
      <c r="X33" s="20">
        <f t="shared" si="2"/>
        <v>0</v>
      </c>
      <c r="Y33" s="20">
        <f t="shared" si="3"/>
        <v>0</v>
      </c>
      <c r="Z33" s="20">
        <f t="shared" si="4"/>
        <v>0</v>
      </c>
      <c r="AB33" s="20">
        <v>10</v>
      </c>
      <c r="AC33" s="20">
        <f>G33*0.885756767528128</f>
        <v>0</v>
      </c>
      <c r="AD33" s="20">
        <f>G33*(1-0.885756767528128)</f>
        <v>0</v>
      </c>
    </row>
    <row r="34" spans="1:30" ht="12.75">
      <c r="A34" s="3" t="s">
        <v>87</v>
      </c>
      <c r="B34" s="3"/>
      <c r="C34" s="3" t="s">
        <v>88</v>
      </c>
      <c r="D34" s="3" t="s">
        <v>89</v>
      </c>
      <c r="E34" s="3" t="s">
        <v>78</v>
      </c>
      <c r="F34" s="20">
        <v>10</v>
      </c>
      <c r="G34" s="20">
        <v>0</v>
      </c>
      <c r="H34" s="20">
        <f>G34*F34</f>
        <v>0</v>
      </c>
      <c r="I34" s="20">
        <v>0.00121</v>
      </c>
      <c r="J34" s="20">
        <f t="shared" si="0"/>
        <v>0.0121</v>
      </c>
      <c r="L34" s="21" t="s">
        <v>35</v>
      </c>
      <c r="M34" s="20">
        <f>IF(L34="5",#REF!,0)</f>
        <v>0</v>
      </c>
      <c r="X34" s="20">
        <f t="shared" si="2"/>
        <v>0</v>
      </c>
      <c r="Y34" s="20">
        <f t="shared" si="3"/>
        <v>0</v>
      </c>
      <c r="Z34" s="20">
        <f t="shared" si="4"/>
        <v>0</v>
      </c>
      <c r="AB34" s="20">
        <v>10</v>
      </c>
      <c r="AC34" s="20">
        <f>G34*0.700956937799043</f>
        <v>0</v>
      </c>
      <c r="AD34" s="20">
        <f>G34*(1-0.700956937799043)</f>
        <v>0</v>
      </c>
    </row>
    <row r="35" spans="1:30" ht="12.75">
      <c r="A35" s="3" t="s">
        <v>90</v>
      </c>
      <c r="B35" s="3"/>
      <c r="C35" s="3" t="s">
        <v>91</v>
      </c>
      <c r="D35" s="3" t="s">
        <v>149</v>
      </c>
      <c r="E35" s="3" t="s">
        <v>92</v>
      </c>
      <c r="F35" s="20">
        <v>12</v>
      </c>
      <c r="G35" s="20">
        <v>0</v>
      </c>
      <c r="H35" s="20">
        <f t="shared" si="1"/>
        <v>0</v>
      </c>
      <c r="I35" s="20">
        <v>0.00321</v>
      </c>
      <c r="J35" s="20">
        <f t="shared" si="0"/>
        <v>0.03852</v>
      </c>
      <c r="L35" s="21" t="s">
        <v>35</v>
      </c>
      <c r="M35" s="20">
        <f>IF(L35="5",#REF!,0)</f>
        <v>0</v>
      </c>
      <c r="X35" s="20">
        <f t="shared" si="2"/>
        <v>0</v>
      </c>
      <c r="Y35" s="20">
        <f t="shared" si="3"/>
        <v>0</v>
      </c>
      <c r="Z35" s="20">
        <f t="shared" si="4"/>
        <v>0</v>
      </c>
      <c r="AB35" s="20">
        <v>10</v>
      </c>
      <c r="AC35" s="20">
        <f>G35*0.658460026316207</f>
        <v>0</v>
      </c>
      <c r="AD35" s="20">
        <f>G35*(1-0.658460026316207)</f>
        <v>0</v>
      </c>
    </row>
    <row r="36" spans="1:30" ht="12.75">
      <c r="A36" s="3" t="s">
        <v>93</v>
      </c>
      <c r="B36" s="3"/>
      <c r="C36" s="3" t="s">
        <v>94</v>
      </c>
      <c r="D36" s="3" t="s">
        <v>150</v>
      </c>
      <c r="E36" s="3" t="s">
        <v>37</v>
      </c>
      <c r="F36" s="20">
        <v>18</v>
      </c>
      <c r="G36" s="20">
        <v>0</v>
      </c>
      <c r="H36" s="20">
        <f t="shared" si="1"/>
        <v>0</v>
      </c>
      <c r="I36" s="20">
        <v>0.002</v>
      </c>
      <c r="J36" s="20">
        <f t="shared" si="0"/>
        <v>0.036000000000000004</v>
      </c>
      <c r="L36" s="21" t="s">
        <v>35</v>
      </c>
      <c r="M36" s="20">
        <f>IF(L36="5",#REF!,0)</f>
        <v>0</v>
      </c>
      <c r="X36" s="20">
        <f t="shared" si="2"/>
        <v>0</v>
      </c>
      <c r="Y36" s="20">
        <f t="shared" si="3"/>
        <v>0</v>
      </c>
      <c r="Z36" s="20">
        <f t="shared" si="4"/>
        <v>0</v>
      </c>
      <c r="AB36" s="20">
        <v>10</v>
      </c>
      <c r="AC36" s="20">
        <f>G36*0.756952897136164</f>
        <v>0</v>
      </c>
      <c r="AD36" s="20">
        <f>G36*(1-0.756952897136164)</f>
        <v>0</v>
      </c>
    </row>
    <row r="37" spans="1:35" ht="12.75">
      <c r="A37" s="22"/>
      <c r="B37" s="22"/>
      <c r="C37" s="23" t="s">
        <v>95</v>
      </c>
      <c r="D37" s="58" t="s">
        <v>96</v>
      </c>
      <c r="E37" s="58"/>
      <c r="F37" s="58"/>
      <c r="G37" s="58"/>
      <c r="H37" s="19">
        <f>H38</f>
        <v>0</v>
      </c>
      <c r="I37" s="14"/>
      <c r="J37" s="19">
        <f>SUM(J38:J38)</f>
        <v>0</v>
      </c>
      <c r="N37" s="19">
        <f>IF(O37="PR",H37,SUM(M38:M38))</f>
        <v>0</v>
      </c>
      <c r="O37" s="14" t="s">
        <v>97</v>
      </c>
      <c r="P37" s="19">
        <f>IF(O37="HS",#REF!,0)</f>
        <v>0</v>
      </c>
      <c r="Q37" s="19">
        <f>IF(O37="HS",#REF!-N37,0)</f>
        <v>0</v>
      </c>
      <c r="R37" s="19">
        <f>IF(O37="PS",#REF!,0)</f>
        <v>0</v>
      </c>
      <c r="S37" s="19">
        <f>IF(O37="PS",#REF!-N37,0)</f>
        <v>0</v>
      </c>
      <c r="T37" s="19">
        <f>IF(O37="MP",#REF!,0)</f>
        <v>0</v>
      </c>
      <c r="U37" s="19">
        <f>IF(O37="MP",#REF!-N37,0)</f>
        <v>0</v>
      </c>
      <c r="V37" s="19">
        <f>IF(O37="OM",#REF!,0)</f>
        <v>0</v>
      </c>
      <c r="W37" s="14"/>
      <c r="AG37" s="19">
        <f>SUM(X38:X38)</f>
        <v>0</v>
      </c>
      <c r="AH37" s="19">
        <f>SUM(Y38:Y38)</f>
        <v>0</v>
      </c>
      <c r="AI37" s="19">
        <f>SUM(Z38:Z38)</f>
        <v>0</v>
      </c>
    </row>
    <row r="38" spans="1:30" ht="12.75">
      <c r="A38" s="3" t="s">
        <v>98</v>
      </c>
      <c r="B38" s="3"/>
      <c r="C38" s="3" t="s">
        <v>99</v>
      </c>
      <c r="D38" s="3" t="s">
        <v>100</v>
      </c>
      <c r="E38" s="3" t="s">
        <v>101</v>
      </c>
      <c r="F38" s="20">
        <v>10</v>
      </c>
      <c r="G38" s="20">
        <v>0</v>
      </c>
      <c r="H38" s="20">
        <f>G38*F38</f>
        <v>0</v>
      </c>
      <c r="I38" s="20">
        <v>0</v>
      </c>
      <c r="J38" s="20">
        <f>F38*I38</f>
        <v>0</v>
      </c>
      <c r="L38" s="21" t="s">
        <v>49</v>
      </c>
      <c r="M38" s="20" t="e">
        <f>IF(L38="5",#REF!,0)</f>
        <v>#REF!</v>
      </c>
      <c r="X38" s="20">
        <f>IF(AB38=0,H38,0)</f>
        <v>0</v>
      </c>
      <c r="Y38" s="20">
        <f>IF(AB38=10,H38,0)</f>
        <v>0</v>
      </c>
      <c r="Z38" s="20">
        <f>IF(AB38=20,H38,0)</f>
        <v>0</v>
      </c>
      <c r="AB38" s="20">
        <v>10</v>
      </c>
      <c r="AC38" s="20">
        <f>G38*0</f>
        <v>0</v>
      </c>
      <c r="AD38" s="20">
        <f>G38*(1-0)</f>
        <v>0</v>
      </c>
    </row>
    <row r="39" spans="1:35" ht="12.75">
      <c r="A39" s="22"/>
      <c r="B39" s="22"/>
      <c r="C39" s="23" t="s">
        <v>102</v>
      </c>
      <c r="D39" s="58" t="s">
        <v>140</v>
      </c>
      <c r="E39" s="58"/>
      <c r="F39" s="58"/>
      <c r="G39" s="58"/>
      <c r="H39" s="19">
        <f>H40</f>
        <v>0</v>
      </c>
      <c r="I39" s="14"/>
      <c r="J39" s="19">
        <f>SUM(J40:J40)</f>
        <v>0</v>
      </c>
      <c r="N39" s="19">
        <f>IF(O39="PR",H39,SUM(M40:M40))</f>
        <v>0</v>
      </c>
      <c r="O39" s="14" t="s">
        <v>97</v>
      </c>
      <c r="P39" s="19">
        <f>IF(O39="HS",#REF!,0)</f>
        <v>0</v>
      </c>
      <c r="Q39" s="19">
        <f>IF(O39="HS",#REF!-N39,0)</f>
        <v>0</v>
      </c>
      <c r="R39" s="19">
        <f>IF(O39="PS",#REF!,0)</f>
        <v>0</v>
      </c>
      <c r="S39" s="19">
        <f>IF(O39="PS",#REF!-N39,0)</f>
        <v>0</v>
      </c>
      <c r="T39" s="19">
        <f>IF(O39="MP",#REF!,0)</f>
        <v>0</v>
      </c>
      <c r="U39" s="19">
        <f>IF(O39="MP",#REF!-N39,0)</f>
        <v>0</v>
      </c>
      <c r="V39" s="19">
        <f>IF(O39="OM",#REF!,0)</f>
        <v>0</v>
      </c>
      <c r="W39" s="14"/>
      <c r="AG39" s="19">
        <f>SUM(X40:X40)</f>
        <v>0</v>
      </c>
      <c r="AH39" s="19">
        <f>SUM(Y40:Y40)</f>
        <v>0</v>
      </c>
      <c r="AI39" s="19">
        <f>SUM(Z40:Z40)</f>
        <v>0</v>
      </c>
    </row>
    <row r="40" spans="1:30" ht="12.75">
      <c r="A40" s="3" t="s">
        <v>103</v>
      </c>
      <c r="B40" s="3"/>
      <c r="C40" s="3" t="s">
        <v>104</v>
      </c>
      <c r="D40" s="3" t="s">
        <v>142</v>
      </c>
      <c r="E40" s="3" t="s">
        <v>55</v>
      </c>
      <c r="F40" s="20">
        <v>1</v>
      </c>
      <c r="G40" s="20">
        <v>0</v>
      </c>
      <c r="H40" s="20">
        <f>G40*F40</f>
        <v>0</v>
      </c>
      <c r="I40" s="20">
        <v>0</v>
      </c>
      <c r="J40" s="20">
        <f>F40*I40</f>
        <v>0</v>
      </c>
      <c r="L40" s="21" t="s">
        <v>49</v>
      </c>
      <c r="M40" s="20" t="e">
        <f>IF(L40="5",#REF!,0)</f>
        <v>#REF!</v>
      </c>
      <c r="X40" s="20">
        <f>IF(AB40=0,H40,0)</f>
        <v>0</v>
      </c>
      <c r="Y40" s="20">
        <f>IF(AB40=10,H40,0)</f>
        <v>0</v>
      </c>
      <c r="Z40" s="20">
        <f>IF(AB40=20,H40,0)</f>
        <v>0</v>
      </c>
      <c r="AB40" s="20">
        <v>10</v>
      </c>
      <c r="AC40" s="20">
        <f>G40*0</f>
        <v>0</v>
      </c>
      <c r="AD40" s="20">
        <f>G40*(1-0)</f>
        <v>0</v>
      </c>
    </row>
    <row r="41" spans="1:35" ht="12.75">
      <c r="A41" s="22"/>
      <c r="B41" s="22"/>
      <c r="C41" s="23" t="s">
        <v>105</v>
      </c>
      <c r="D41" s="58" t="s">
        <v>45</v>
      </c>
      <c r="E41" s="58"/>
      <c r="F41" s="58"/>
      <c r="G41" s="58"/>
      <c r="H41" s="19">
        <f>H42</f>
        <v>0</v>
      </c>
      <c r="I41" s="14"/>
      <c r="J41" s="19">
        <f>SUM(J42:J42)</f>
        <v>0</v>
      </c>
      <c r="N41" s="19">
        <f>IF(O41="PR",H41,SUM(M42:M42))</f>
        <v>0</v>
      </c>
      <c r="O41" s="14" t="s">
        <v>97</v>
      </c>
      <c r="P41" s="19">
        <f>IF(O41="HS",#REF!,0)</f>
        <v>0</v>
      </c>
      <c r="Q41" s="19">
        <f>IF(O41="HS",#REF!-N41,0)</f>
        <v>0</v>
      </c>
      <c r="R41" s="19">
        <f>IF(O41="PS",#REF!,0)</f>
        <v>0</v>
      </c>
      <c r="S41" s="19">
        <f>IF(O41="PS",#REF!-N41,0)</f>
        <v>0</v>
      </c>
      <c r="T41" s="19">
        <f>IF(O41="MP",#REF!,0)</f>
        <v>0</v>
      </c>
      <c r="U41" s="19">
        <f>IF(O41="MP",#REF!-N41,0)</f>
        <v>0</v>
      </c>
      <c r="V41" s="19">
        <f>IF(O41="OM",#REF!,0)</f>
        <v>0</v>
      </c>
      <c r="W41" s="14"/>
      <c r="AG41" s="19">
        <f>SUM(X42:X42)</f>
        <v>0</v>
      </c>
      <c r="AH41" s="19">
        <f>SUM(Y42:Y42)</f>
        <v>0</v>
      </c>
      <c r="AI41" s="19">
        <f>SUM(Z42:Z42)</f>
        <v>0</v>
      </c>
    </row>
    <row r="42" spans="1:30" ht="12.75">
      <c r="A42" s="3" t="s">
        <v>106</v>
      </c>
      <c r="B42" s="3"/>
      <c r="C42" s="3" t="s">
        <v>107</v>
      </c>
      <c r="D42" s="3" t="s">
        <v>137</v>
      </c>
      <c r="E42" s="3" t="s">
        <v>37</v>
      </c>
      <c r="F42" s="20">
        <v>360</v>
      </c>
      <c r="G42" s="20">
        <v>0</v>
      </c>
      <c r="H42" s="20">
        <f>G42*F42</f>
        <v>0</v>
      </c>
      <c r="I42" s="20">
        <v>0</v>
      </c>
      <c r="J42" s="20">
        <f>F42*I42</f>
        <v>0</v>
      </c>
      <c r="L42" s="21" t="s">
        <v>49</v>
      </c>
      <c r="M42" s="20" t="e">
        <f>IF(L42="5",#REF!,0)</f>
        <v>#REF!</v>
      </c>
      <c r="X42" s="20">
        <f>IF(AB42=0,H42,0)</f>
        <v>0</v>
      </c>
      <c r="Y42" s="20">
        <f>IF(AB42=10,H42,0)</f>
        <v>0</v>
      </c>
      <c r="Z42" s="20">
        <f>IF(AB42=20,H42,0)</f>
        <v>0</v>
      </c>
      <c r="AB42" s="20">
        <v>10</v>
      </c>
      <c r="AC42" s="20">
        <f>G42*0</f>
        <v>0</v>
      </c>
      <c r="AD42" s="20">
        <f>G42*(1-0)</f>
        <v>0</v>
      </c>
    </row>
    <row r="43" spans="1:35" ht="12.75">
      <c r="A43" s="22"/>
      <c r="B43" s="22"/>
      <c r="C43" s="23" t="s">
        <v>108</v>
      </c>
      <c r="D43" s="58" t="s">
        <v>67</v>
      </c>
      <c r="E43" s="58"/>
      <c r="F43" s="58"/>
      <c r="G43" s="58"/>
      <c r="H43" s="19">
        <f>H44</f>
        <v>0</v>
      </c>
      <c r="I43" s="14"/>
      <c r="J43" s="19">
        <f>SUM(J44:J44)</f>
        <v>0</v>
      </c>
      <c r="N43" s="19">
        <f>IF(O43="PR",H43,SUM(M44:M44))</f>
        <v>0</v>
      </c>
      <c r="O43" s="14" t="s">
        <v>97</v>
      </c>
      <c r="P43" s="19">
        <f>IF(O43="HS",#REF!,0)</f>
        <v>0</v>
      </c>
      <c r="Q43" s="19">
        <f>IF(O43="HS",#REF!-N43,0)</f>
        <v>0</v>
      </c>
      <c r="R43" s="19">
        <f>IF(O43="PS",#REF!,0)</f>
        <v>0</v>
      </c>
      <c r="S43" s="19">
        <f>IF(O43="PS",#REF!-N43,0)</f>
        <v>0</v>
      </c>
      <c r="T43" s="19">
        <f>IF(O43="MP",#REF!,0)</f>
        <v>0</v>
      </c>
      <c r="U43" s="19">
        <f>IF(O43="MP",#REF!-N43,0)</f>
        <v>0</v>
      </c>
      <c r="V43" s="19">
        <f>IF(O43="OM",#REF!,0)</f>
        <v>0</v>
      </c>
      <c r="W43" s="14"/>
      <c r="AG43" s="19">
        <f>SUM(X44:X44)</f>
        <v>0</v>
      </c>
      <c r="AH43" s="19">
        <f>SUM(Y44:Y44)</f>
        <v>0</v>
      </c>
      <c r="AI43" s="19">
        <f>SUM(Z44:Z44)</f>
        <v>0</v>
      </c>
    </row>
    <row r="44" spans="1:30" ht="12.75">
      <c r="A44" s="3" t="s">
        <v>109</v>
      </c>
      <c r="B44" s="3"/>
      <c r="C44" s="3" t="s">
        <v>110</v>
      </c>
      <c r="D44" s="3" t="s">
        <v>111</v>
      </c>
      <c r="E44" s="3" t="s">
        <v>101</v>
      </c>
      <c r="F44" s="20">
        <v>2</v>
      </c>
      <c r="G44" s="20">
        <v>0</v>
      </c>
      <c r="H44" s="20">
        <f>G44*F44</f>
        <v>0</v>
      </c>
      <c r="I44" s="20">
        <v>0</v>
      </c>
      <c r="J44" s="20">
        <f>F44*I44</f>
        <v>0</v>
      </c>
      <c r="L44" s="21" t="s">
        <v>49</v>
      </c>
      <c r="M44" s="20" t="e">
        <f>IF(L44="5",#REF!,0)</f>
        <v>#REF!</v>
      </c>
      <c r="X44" s="20">
        <f>IF(AB44=0,H44,0)</f>
        <v>0</v>
      </c>
      <c r="Y44" s="20">
        <f>IF(AB44=10,H44,0)</f>
        <v>0</v>
      </c>
      <c r="Z44" s="20">
        <f>IF(AB44=20,H44,0)</f>
        <v>0</v>
      </c>
      <c r="AB44" s="20">
        <v>10</v>
      </c>
      <c r="AC44" s="20">
        <f>G44*0</f>
        <v>0</v>
      </c>
      <c r="AD44" s="20">
        <f>G44*(1-0)</f>
        <v>0</v>
      </c>
    </row>
    <row r="45" spans="1:35" ht="12.75">
      <c r="A45" s="22"/>
      <c r="B45" s="22"/>
      <c r="C45" s="23" t="s">
        <v>112</v>
      </c>
      <c r="D45" s="58" t="s">
        <v>143</v>
      </c>
      <c r="E45" s="58"/>
      <c r="F45" s="58"/>
      <c r="G45" s="58"/>
      <c r="H45" s="19">
        <f>H46</f>
        <v>0</v>
      </c>
      <c r="I45" s="14"/>
      <c r="J45" s="19">
        <f>SUM(J46:J46)</f>
        <v>0</v>
      </c>
      <c r="N45" s="19">
        <f>IF(O45="PR",H45,SUM(M46:M46))</f>
        <v>0</v>
      </c>
      <c r="O45" s="14" t="s">
        <v>113</v>
      </c>
      <c r="P45" s="19">
        <f>IF(O45="HS",#REF!,0)</f>
        <v>0</v>
      </c>
      <c r="Q45" s="19">
        <f>IF(O45="HS",#REF!-N45,0)</f>
        <v>0</v>
      </c>
      <c r="R45" s="19">
        <f>IF(O45="PS",#REF!,0)</f>
        <v>0</v>
      </c>
      <c r="S45" s="19">
        <f>IF(O45="PS",#REF!-N45,0)</f>
        <v>0</v>
      </c>
      <c r="T45" s="19" t="e">
        <f>IF(O45="MP",#REF!,0)</f>
        <v>#REF!</v>
      </c>
      <c r="U45" s="19" t="e">
        <f>IF(O45="MP",#REF!-N45,0)</f>
        <v>#REF!</v>
      </c>
      <c r="V45" s="19">
        <f>IF(O45="OM",#REF!,0)</f>
        <v>0</v>
      </c>
      <c r="W45" s="14"/>
      <c r="AG45" s="19">
        <f>SUM(X46:X46)</f>
        <v>0</v>
      </c>
      <c r="AH45" s="19">
        <f>SUM(Y46:Y46)</f>
        <v>0</v>
      </c>
      <c r="AI45" s="19">
        <f>SUM(Z46:Z46)</f>
        <v>0</v>
      </c>
    </row>
    <row r="46" spans="1:30" ht="30.75" customHeight="1">
      <c r="A46" s="24" t="s">
        <v>114</v>
      </c>
      <c r="B46" s="24"/>
      <c r="C46" s="24" t="s">
        <v>115</v>
      </c>
      <c r="D46" s="24" t="s">
        <v>153</v>
      </c>
      <c r="E46" s="24" t="s">
        <v>75</v>
      </c>
      <c r="F46" s="25">
        <v>1</v>
      </c>
      <c r="G46" s="25">
        <v>0</v>
      </c>
      <c r="H46" s="25">
        <f>G46*F46</f>
        <v>0</v>
      </c>
      <c r="I46" s="25">
        <v>0</v>
      </c>
      <c r="J46" s="25">
        <f>F46*I46</f>
        <v>0</v>
      </c>
      <c r="L46" s="21" t="s">
        <v>38</v>
      </c>
      <c r="M46" s="20">
        <f>IF(L46="5",#REF!,0)</f>
        <v>0</v>
      </c>
      <c r="X46" s="20">
        <f>IF(AB46=0,H46,0)</f>
        <v>0</v>
      </c>
      <c r="Y46" s="20">
        <f>IF(AB46=10,H46,0)</f>
        <v>0</v>
      </c>
      <c r="Z46" s="20">
        <f>IF(AB46=20,H46,0)</f>
        <v>0</v>
      </c>
      <c r="AB46" s="20">
        <v>10</v>
      </c>
      <c r="AC46" s="20">
        <f>G46*0</f>
        <v>0</v>
      </c>
      <c r="AD46" s="20">
        <f>G46*(1-0)</f>
        <v>0</v>
      </c>
    </row>
    <row r="47" spans="1:26" ht="12.75">
      <c r="A47" s="26"/>
      <c r="B47" s="26"/>
      <c r="C47" s="26"/>
      <c r="D47" s="26"/>
      <c r="E47" s="26"/>
      <c r="F47" s="26"/>
      <c r="G47" s="26"/>
      <c r="H47" s="27">
        <f>H12+H15+H17+H22+H26+H37+H39+H41+H43+H45</f>
        <v>0</v>
      </c>
      <c r="I47" s="26"/>
      <c r="J47" s="26"/>
      <c r="X47" s="28">
        <f>SUM(X13:X46)</f>
        <v>0</v>
      </c>
      <c r="Y47" s="28">
        <f>SUM(Y13:Y46)</f>
        <v>0</v>
      </c>
      <c r="Z47" s="28">
        <f>SUM(Z13:Z46)</f>
        <v>0</v>
      </c>
    </row>
  </sheetData>
  <sheetProtection/>
  <protectedRanges>
    <protectedRange sqref="H46" name="Oblast10"/>
    <protectedRange sqref="G44" name="Oblast9"/>
    <protectedRange sqref="G42" name="Oblast8"/>
    <protectedRange sqref="G40" name="Oblast7"/>
    <protectedRange sqref="G38" name="Oblast6"/>
    <protectedRange sqref="G27:G36" name="Oblast5"/>
    <protectedRange sqref="G23:G25" name="Oblast4"/>
    <protectedRange sqref="G18:G21" name="Oblast3"/>
    <protectedRange sqref="G16" name="Oblast2"/>
    <protectedRange sqref="G13:G14" name="Oblast1"/>
  </protectedRanges>
  <mergeCells count="32">
    <mergeCell ref="A1:J1"/>
    <mergeCell ref="A2:C3"/>
    <mergeCell ref="D2:D3"/>
    <mergeCell ref="E2:F3"/>
    <mergeCell ref="G2:G3"/>
    <mergeCell ref="H2:J3"/>
    <mergeCell ref="A6:C7"/>
    <mergeCell ref="D6:D7"/>
    <mergeCell ref="E6:F7"/>
    <mergeCell ref="G6:G7"/>
    <mergeCell ref="H6:J7"/>
    <mergeCell ref="A4:C5"/>
    <mergeCell ref="D4:D5"/>
    <mergeCell ref="E4:F5"/>
    <mergeCell ref="G4:G5"/>
    <mergeCell ref="H4:J5"/>
    <mergeCell ref="I10:J10"/>
    <mergeCell ref="D12:G12"/>
    <mergeCell ref="D15:G15"/>
    <mergeCell ref="D17:G17"/>
    <mergeCell ref="D22:G22"/>
    <mergeCell ref="A8:C9"/>
    <mergeCell ref="D8:D9"/>
    <mergeCell ref="E8:F9"/>
    <mergeCell ref="G8:G9"/>
    <mergeCell ref="H8:J9"/>
    <mergeCell ref="D26:G26"/>
    <mergeCell ref="D37:G37"/>
    <mergeCell ref="D39:G39"/>
    <mergeCell ref="D41:G41"/>
    <mergeCell ref="D43:G43"/>
    <mergeCell ref="D45:G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Polák</dc:creator>
  <cp:keywords/>
  <dc:description/>
  <cp:lastModifiedBy>lukas</cp:lastModifiedBy>
  <dcterms:created xsi:type="dcterms:W3CDTF">2017-02-20T09:18:30Z</dcterms:created>
  <dcterms:modified xsi:type="dcterms:W3CDTF">2023-06-19T14:05:11Z</dcterms:modified>
  <cp:category/>
  <cp:version/>
  <cp:contentType/>
  <cp:contentStatus/>
</cp:coreProperties>
</file>