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7680" activeTab="0"/>
  </bookViews>
  <sheets>
    <sheet name="Krycí list rozpočtu" sheetId="1" r:id="rId1"/>
    <sheet name="Stavební rozpočet" sheetId="2" r:id="rId2"/>
  </sheets>
  <definedNames>
    <definedName name="_xlnm.Print_Area" localSheetId="0">'Krycí list rozpočtu'!$A$1:$I$21</definedName>
    <definedName name="_xlnm.Print_Area" localSheetId="1">'Stavební rozpočet'!$A$1:$L$71</definedName>
  </definedNames>
  <calcPr fullCalcOnLoad="1"/>
</workbook>
</file>

<file path=xl/sharedStrings.xml><?xml version="1.0" encoding="utf-8"?>
<sst xmlns="http://schemas.openxmlformats.org/spreadsheetml/2006/main" count="348" uniqueCount="226">
  <si>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</si>
  <si>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</si>
  <si>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</si>
  <si>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</si>
  <si>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</si>
  <si>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</si>
  <si>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</si>
  <si>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</si>
  <si>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</si>
  <si>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</si>
  <si>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</si>
  <si>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</si>
  <si>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</si>
  <si>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</si>
  <si>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</si>
  <si>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</si>
  <si>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</si>
  <si>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</si>
  <si>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</si>
  <si>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</si>
  <si>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</si>
  <si>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</si>
  <si>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</si>
  <si>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</si>
  <si>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</si>
  <si>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</si>
  <si>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</si>
  <si>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</si>
  <si>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</si>
  <si>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</si>
  <si>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</si>
  <si>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</si>
  <si>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</si>
  <si>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</si>
  <si>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</si>
  <si>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</si>
  <si>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</si>
  <si>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</si>
  <si>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</si>
  <si>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</si>
  <si>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</si>
  <si>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</si>
  <si>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</si>
  <si>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</si>
  <si>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</si>
  <si>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</si>
  <si>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</si>
  <si>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</si>
  <si>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</si>
  <si>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</si>
  <si>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</si>
  <si>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</si>
  <si>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</si>
  <si>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</si>
  <si>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</si>
  <si>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</si>
  <si>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Objekt</t>
  </si>
  <si>
    <t>Kód</t>
  </si>
  <si>
    <t>62</t>
  </si>
  <si>
    <t>620412112R00</t>
  </si>
  <si>
    <t>620991121R00</t>
  </si>
  <si>
    <t>620991125R00</t>
  </si>
  <si>
    <t>621411111R00</t>
  </si>
  <si>
    <t>621421145RT2</t>
  </si>
  <si>
    <t>621451101R00</t>
  </si>
  <si>
    <t>621451148R00</t>
  </si>
  <si>
    <t>621471119R00</t>
  </si>
  <si>
    <t>621491241R00</t>
  </si>
  <si>
    <t>622319454RV1</t>
  </si>
  <si>
    <t>622401903R00</t>
  </si>
  <si>
    <t>622401941R00</t>
  </si>
  <si>
    <t>622421121RT2</t>
  </si>
  <si>
    <t>622421131R00</t>
  </si>
  <si>
    <t>622421147R00</t>
  </si>
  <si>
    <t>622421148R00</t>
  </si>
  <si>
    <t>622422321R00</t>
  </si>
  <si>
    <t>622422322R00</t>
  </si>
  <si>
    <t>622427321R00</t>
  </si>
  <si>
    <t>622427722R00</t>
  </si>
  <si>
    <t>622471317RP2</t>
  </si>
  <si>
    <t>622471320RP2</t>
  </si>
  <si>
    <t>622471321RP2</t>
  </si>
  <si>
    <t>627451621R00</t>
  </si>
  <si>
    <t>629481112R00</t>
  </si>
  <si>
    <t>629481115R00</t>
  </si>
  <si>
    <t>764</t>
  </si>
  <si>
    <t>764241711R00</t>
  </si>
  <si>
    <t>764241712R00</t>
  </si>
  <si>
    <t>767</t>
  </si>
  <si>
    <t>767136101R00</t>
  </si>
  <si>
    <t>783</t>
  </si>
  <si>
    <t>783103811R00</t>
  </si>
  <si>
    <t>783122111RT5</t>
  </si>
  <si>
    <t>94</t>
  </si>
  <si>
    <t>941941031R00</t>
  </si>
  <si>
    <t>941941191R00</t>
  </si>
  <si>
    <t>941941831R00</t>
  </si>
  <si>
    <t>944944011R00</t>
  </si>
  <si>
    <t>944944031R00</t>
  </si>
  <si>
    <t>944944081R00</t>
  </si>
  <si>
    <t>944944101R00</t>
  </si>
  <si>
    <t>97</t>
  </si>
  <si>
    <t>978015241R00</t>
  </si>
  <si>
    <t>978015341R00</t>
  </si>
  <si>
    <t>978015391R00</t>
  </si>
  <si>
    <t>H01</t>
  </si>
  <si>
    <t>998011002R00</t>
  </si>
  <si>
    <t>M21</t>
  </si>
  <si>
    <t>210010001R00</t>
  </si>
  <si>
    <t>210010001RT1</t>
  </si>
  <si>
    <t>S0</t>
  </si>
  <si>
    <t>979082212R00</t>
  </si>
  <si>
    <t>979082113R00</t>
  </si>
  <si>
    <t>979082119R00</t>
  </si>
  <si>
    <t>979082219R00</t>
  </si>
  <si>
    <t>979082222R00</t>
  </si>
  <si>
    <t>Fasáda BD Poděbradova č.p.54, Domažlice</t>
  </si>
  <si>
    <t>Zkrácený popis</t>
  </si>
  <si>
    <t>Nezařazeno</t>
  </si>
  <si>
    <t>Úprava povrchů vnější</t>
  </si>
  <si>
    <t>Zakrývání výplní vnějších otvorů z lešení</t>
  </si>
  <si>
    <t>Příplatek za zakrývání otvorů z lešeňové klece</t>
  </si>
  <si>
    <t>Barvení vnější omítky podhledů, složitost 3</t>
  </si>
  <si>
    <t>Omítka vnější podhledů, MVC, štuková, složitost 3</t>
  </si>
  <si>
    <t>Vyspravení vnějších podhledů maltou MC</t>
  </si>
  <si>
    <t>Omítka vnější podhledů, MC, štuková, složitost 3</t>
  </si>
  <si>
    <t>Příplatek za provádění úprav na podhledech</t>
  </si>
  <si>
    <t>Příplatek za nátěry na podhledech</t>
  </si>
  <si>
    <t>Zatepl.Webertherm elastic,ostění,clima EPS F 40 mm</t>
  </si>
  <si>
    <t>Příplatek za zaoblení omítky stěn, štuk. hlazené</t>
  </si>
  <si>
    <t>Příplatek za kropení podkladu omítky vnější stěn</t>
  </si>
  <si>
    <t>Omítka vnější stěn, MVC, hladká, složitost 1-2</t>
  </si>
  <si>
    <t>Omítka vnější stěn, MVC, štuková, složitost 6</t>
  </si>
  <si>
    <t>Omítka vnější stěn, MVC, štuková, složitost 7</t>
  </si>
  <si>
    <t>Oprava vnějších omítek vápen. štuk. II, do 30 %</t>
  </si>
  <si>
    <t>Oprava vnějších omítek štukových, čl. VII, do 30 %</t>
  </si>
  <si>
    <t>Oprava vněj. omítek VIIdo 80%, štuk na 100% plochy</t>
  </si>
  <si>
    <t>Nátěr nebo nástřik stěn vnějších, složitost 1 - 2</t>
  </si>
  <si>
    <t>Nátěr nebo nástřik stěn vnějších, složitost 6</t>
  </si>
  <si>
    <t>Nátěr nebo nástřik stěn vnějších, složitost 7</t>
  </si>
  <si>
    <t>Oprava spárování cihelného zdiva stěn, pl.do 20 %</t>
  </si>
  <si>
    <t>Potažení ploch pletivem rabicovým volně</t>
  </si>
  <si>
    <t>Konstrukce klempířské</t>
  </si>
  <si>
    <t>Konstrukce doplňkové stavební (zámečnické)</t>
  </si>
  <si>
    <t>Nátěry</t>
  </si>
  <si>
    <t>Odstranění nátěrů z ocel.konstrukcí "C" oškrábáním</t>
  </si>
  <si>
    <t>Nátěr syntetický OK "A" dvojnásobný, Paulín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</si>
  <si>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</si>
  <si>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</si>
  <si>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</si>
  <si>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</si>
  <si>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Montáž ochranné sítě z umělých vláken</t>
  </si>
  <si>
    <t>Příplatek za každý měsíc použití sítí k pol. 4011</t>
  </si>
  <si>
    <t>Demontáž ochranné sítě z umělých vláken</t>
  </si>
  <si>
    <t>Prorážení otvorů a ostatní bourací práce</t>
  </si>
  <si>
    <t>Otlučení omítek vnějších MVC v složit.1-4 do 30 %</t>
  </si>
  <si>
    <t>Otlučení omítek vnějších MVC v složit.5-7 do 30 %</t>
  </si>
  <si>
    <t>Otlučení omítek vnějších MVC v složit.5-7 do 100 %</t>
  </si>
  <si>
    <t>Budovy občanské výstavby</t>
  </si>
  <si>
    <t>Přesun hmot pro budovy zděné výšky do 12 m</t>
  </si>
  <si>
    <t>Elektromontáže</t>
  </si>
  <si>
    <t>Přesuny sutí</t>
  </si>
  <si>
    <t>Vodorovná doprava suti po suchu do 50 m</t>
  </si>
  <si>
    <t>Vodorovná doprava suti po suchu do 1000 m</t>
  </si>
  <si>
    <t>Příplatek k přesunu suti za každých dalších 1000 m</t>
  </si>
  <si>
    <t>Příplatek za dopravu suti po suchu za další 1 km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</si>
  <si>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</si>
  <si>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</si>
  <si>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</si>
  <si>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</si>
  <si>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</si>
  <si>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</si>
  <si>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</si>
  <si>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</si>
  <si>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</si>
  <si>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</si>
  <si>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</si>
  <si>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</si>
  <si>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</si>
  <si>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</si>
  <si>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</si>
  <si>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</si>
  <si>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</si>
  <si>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</si>
  <si>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</si>
  <si>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Polák</t>
  </si>
  <si>
    <t>Celkem</t>
  </si>
  <si>
    <t>Hmotnost (t)</t>
  </si>
  <si>
    <t>Přesuny</t>
  </si>
  <si>
    <t>Typ skupiny</t>
  </si>
  <si>
    <t>HS</t>
  </si>
  <si>
    <t>PS</t>
  </si>
  <si>
    <t>PR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</si>
  <si>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</si>
  <si>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</si>
  <si>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</si>
  <si>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</si>
  <si>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</si>
  <si>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</si>
  <si>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</si>
  <si>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</si>
  <si>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</si>
  <si>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</si>
  <si>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Projektant</t>
  </si>
  <si>
    <t>Datum, razítko a podpis</t>
  </si>
  <si>
    <t>Objednatel</t>
  </si>
  <si>
    <t>Celkem bez DPH</t>
  </si>
  <si>
    <t>Zhotovitel</t>
  </si>
  <si>
    <t>IČ/DIČ:</t>
  </si>
  <si>
    <t>Položek:</t>
  </si>
  <si>
    <t>Datum:</t>
  </si>
  <si>
    <t>Omytí fasády tlakovou vodou</t>
  </si>
  <si>
    <t>Omítka vnější stěn, MVC, hrubá zatřená- sanační</t>
  </si>
  <si>
    <t>Potažení ploch pletivem keramickým s vypnutím+ nopová folie</t>
  </si>
  <si>
    <t>Omítkářské rohy venkovní D+M</t>
  </si>
  <si>
    <t>Zakrytí střechy podlážkou- štít soused</t>
  </si>
  <si>
    <t>M+D- osvětlení</t>
  </si>
  <si>
    <t>ks</t>
  </si>
  <si>
    <t>kpl</t>
  </si>
  <si>
    <t>Demontáž a montáž žlabů a svodů- původní</t>
  </si>
  <si>
    <t>Skládkovné suť</t>
  </si>
  <si>
    <t>Vytrubkování satelit-předpoklad, revize hromosvod</t>
  </si>
  <si>
    <t>DPH 15%</t>
  </si>
  <si>
    <t>Oprava mříží, dodávka ventilačních mřížek</t>
  </si>
  <si>
    <t>Oprava klemp.prvků- letování, tmelení</t>
  </si>
  <si>
    <t>Cena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</si>
</sst>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1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6" fillId="33" borderId="26" xfId="0" applyNumberFormat="1" applyFont="1" applyFill="1" applyBorder="1" applyAlignment="1" applyProtection="1">
      <alignment horizontal="right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49" fontId="6" fillId="33" borderId="31" xfId="0" applyNumberFormat="1" applyFont="1" applyFill="1" applyBorder="1" applyAlignment="1" applyProtection="1">
      <alignment horizontal="left" vertical="center"/>
      <protection/>
    </xf>
    <xf numFmtId="0" fontId="6" fillId="33" borderId="24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14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25" fillId="33" borderId="31" xfId="0" applyNumberFormat="1" applyFont="1" applyFill="1" applyBorder="1" applyAlignment="1" applyProtection="1">
      <alignment horizontal="left" vertical="center"/>
      <protection/>
    </xf>
    <xf numFmtId="0" fontId="25" fillId="33" borderId="2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60" zoomScalePageLayoutView="0" workbookViewId="0" topLeftCell="A1">
      <selection activeCell="Q25" sqref="Q25"/>
    </sheetView>
  </sheetViews>
  <sheetFormatPr defaultColWidth="11.57421875" defaultRowHeight="12.75"/>
  <cols>
    <col min="1" max="1" width="7.28125" style="0" customWidth="1"/>
    <col min="2" max="2" width="9.421875" style="0" customWidth="1"/>
    <col min="3" max="3" width="17.28125" style="0" customWidth="1"/>
    <col min="4" max="4" width="21.140625" style="0" customWidth="1"/>
    <col min="5" max="5" width="11.28125" style="0" customWidth="1"/>
    <col min="6" max="6" width="18.140625" style="0" customWidth="1"/>
    <col min="7" max="7" width="7.28125" style="0" customWidth="1"/>
    <col min="8" max="8" width="13.7109375" style="0" customWidth="1"/>
    <col min="9" max="9" width="20.28125" style="0" customWidth="1"/>
  </cols>
  <sheetData>
    <row r="1" spans="1:9" ht="24" customHeight="1">
      <c r="A1" s="56" t="s">
        <v>201</v>
      </c>
      <c r="B1" s="57"/>
      <c r="C1" s="57"/>
      <c r="D1" s="57"/>
      <c r="E1" s="57"/>
      <c r="F1" s="57"/>
      <c r="G1" s="57"/>
      <c r="H1" s="57"/>
      <c r="I1" s="57"/>
    </row>
    <row r="2" spans="1:10" ht="12.75">
      <c r="A2" s="58" t="s">
        <v>1</v>
      </c>
      <c r="B2" s="52"/>
      <c r="C2" s="62" t="s">
        <v>116</v>
      </c>
      <c r="D2" s="63"/>
      <c r="E2" s="51" t="s">
        <v>180</v>
      </c>
      <c r="F2" s="51"/>
      <c r="G2" s="52"/>
      <c r="H2" s="51" t="s">
        <v>208</v>
      </c>
      <c r="I2" s="44"/>
      <c r="J2" s="22"/>
    </row>
    <row r="3" spans="1:10" ht="12.75">
      <c r="A3" s="59"/>
      <c r="B3" s="53"/>
      <c r="C3" s="64"/>
      <c r="D3" s="64"/>
      <c r="E3" s="53"/>
      <c r="F3" s="53"/>
      <c r="G3" s="53"/>
      <c r="H3" s="53"/>
      <c r="I3" s="45"/>
      <c r="J3" s="22"/>
    </row>
    <row r="4" spans="1:10" ht="12.75">
      <c r="A4" s="60" t="s">
        <v>2</v>
      </c>
      <c r="B4" s="53"/>
      <c r="C4" s="54"/>
      <c r="D4" s="53"/>
      <c r="E4" s="54" t="s">
        <v>181</v>
      </c>
      <c r="F4" s="54"/>
      <c r="G4" s="53"/>
      <c r="H4" s="54" t="s">
        <v>208</v>
      </c>
      <c r="I4" s="46"/>
      <c r="J4" s="22"/>
    </row>
    <row r="5" spans="1:10" ht="12.75">
      <c r="A5" s="59"/>
      <c r="B5" s="53"/>
      <c r="C5" s="53"/>
      <c r="D5" s="53"/>
      <c r="E5" s="53"/>
      <c r="F5" s="53"/>
      <c r="G5" s="53"/>
      <c r="H5" s="53"/>
      <c r="I5" s="45"/>
      <c r="J5" s="22"/>
    </row>
    <row r="6" spans="1:10" ht="12.75">
      <c r="A6" s="60" t="s">
        <v>3</v>
      </c>
      <c r="B6" s="53"/>
      <c r="C6" s="54"/>
      <c r="D6" s="53"/>
      <c r="E6" s="54" t="s">
        <v>182</v>
      </c>
      <c r="F6" s="54"/>
      <c r="G6" s="53"/>
      <c r="H6" s="54" t="s">
        <v>208</v>
      </c>
      <c r="I6" s="46"/>
      <c r="J6" s="22"/>
    </row>
    <row r="7" spans="1:10" ht="12.75">
      <c r="A7" s="59"/>
      <c r="B7" s="53"/>
      <c r="C7" s="53"/>
      <c r="D7" s="53"/>
      <c r="E7" s="53"/>
      <c r="F7" s="53"/>
      <c r="G7" s="53"/>
      <c r="H7" s="53"/>
      <c r="I7" s="45"/>
      <c r="J7" s="22"/>
    </row>
    <row r="8" spans="1:10" ht="12.75">
      <c r="A8" s="60" t="s">
        <v>167</v>
      </c>
      <c r="B8" s="53"/>
      <c r="C8" s="65">
        <v>43565</v>
      </c>
      <c r="D8" s="53"/>
      <c r="E8" s="54" t="s">
        <v>168</v>
      </c>
      <c r="F8" s="53"/>
      <c r="G8" s="53"/>
      <c r="H8" s="54" t="s">
        <v>209</v>
      </c>
      <c r="I8" s="46" t="s">
        <v>55</v>
      </c>
      <c r="J8" s="22"/>
    </row>
    <row r="9" spans="1:10" ht="12.75">
      <c r="A9" s="59"/>
      <c r="B9" s="53"/>
      <c r="C9" s="53"/>
      <c r="D9" s="53"/>
      <c r="E9" s="53"/>
      <c r="F9" s="53"/>
      <c r="G9" s="53"/>
      <c r="H9" s="53"/>
      <c r="I9" s="45"/>
      <c r="J9" s="22"/>
    </row>
    <row r="10" spans="1:10" ht="12.75">
      <c r="A10" s="60" t="s">
        <v>4</v>
      </c>
      <c r="B10" s="53"/>
      <c r="C10" s="54"/>
      <c r="D10" s="53"/>
      <c r="E10" s="54" t="s">
        <v>183</v>
      </c>
      <c r="F10" s="54" t="s">
        <v>185</v>
      </c>
      <c r="G10" s="53"/>
      <c r="H10" s="54" t="s">
        <v>210</v>
      </c>
      <c r="I10" s="47">
        <v>43565</v>
      </c>
      <c r="J10" s="22"/>
    </row>
    <row r="11" spans="1:10" ht="12.75">
      <c r="A11" s="61"/>
      <c r="B11" s="55"/>
      <c r="C11" s="55"/>
      <c r="D11" s="55"/>
      <c r="E11" s="55"/>
      <c r="F11" s="55"/>
      <c r="G11" s="55"/>
      <c r="H11" s="55"/>
      <c r="I11" s="48"/>
      <c r="J11" s="22"/>
    </row>
    <row r="12" spans="1:9" ht="18.75" customHeight="1">
      <c r="A12" s="49" t="s">
        <v>202</v>
      </c>
      <c r="B12" s="50"/>
      <c r="C12" s="50"/>
      <c r="D12" s="50"/>
      <c r="E12" s="50"/>
      <c r="F12" s="50"/>
      <c r="G12" s="50"/>
      <c r="H12" s="50"/>
      <c r="I12" s="50"/>
    </row>
    <row r="13" spans="1:9" ht="12.75">
      <c r="A13" s="29"/>
      <c r="B13" s="29"/>
      <c r="C13" s="29"/>
      <c r="D13" s="7"/>
      <c r="E13" s="7"/>
      <c r="F13" s="7"/>
      <c r="G13" s="7"/>
      <c r="H13" s="7"/>
      <c r="I13" s="7"/>
    </row>
    <row r="14" spans="1:10" ht="12.75" customHeight="1">
      <c r="A14" s="79" t="s">
        <v>225</v>
      </c>
      <c r="B14" s="80"/>
      <c r="C14" s="32">
        <f>'Stavební rozpočet'!J71</f>
        <v>0</v>
      </c>
      <c r="D14" s="39" t="s">
        <v>222</v>
      </c>
      <c r="E14" s="40"/>
      <c r="F14" s="32">
        <f>ROUND(C14*(15/100),2)</f>
        <v>0</v>
      </c>
      <c r="G14" s="39" t="s">
        <v>206</v>
      </c>
      <c r="H14" s="40"/>
      <c r="I14" s="32">
        <f>SUM(C14:C14)</f>
        <v>0</v>
      </c>
      <c r="J14" s="22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30"/>
    </row>
    <row r="16" spans="1:10" ht="12.75" customHeight="1">
      <c r="A16" s="41" t="s">
        <v>203</v>
      </c>
      <c r="B16" s="42"/>
      <c r="C16" s="43"/>
      <c r="D16" s="41" t="s">
        <v>205</v>
      </c>
      <c r="E16" s="42"/>
      <c r="F16" s="43"/>
      <c r="G16" s="41" t="s">
        <v>207</v>
      </c>
      <c r="H16" s="42"/>
      <c r="I16" s="43"/>
      <c r="J16" s="23"/>
    </row>
    <row r="17" spans="1:10" ht="12.75" customHeight="1">
      <c r="A17" s="33"/>
      <c r="B17" s="34"/>
      <c r="C17" s="35"/>
      <c r="D17" s="33"/>
      <c r="E17" s="34"/>
      <c r="F17" s="35"/>
      <c r="G17" s="33"/>
      <c r="H17" s="34"/>
      <c r="I17" s="35"/>
      <c r="J17" s="23"/>
    </row>
    <row r="18" spans="1:10" ht="12.75" customHeight="1">
      <c r="A18" s="33"/>
      <c r="B18" s="34"/>
      <c r="C18" s="35"/>
      <c r="D18" s="33"/>
      <c r="E18" s="34"/>
      <c r="F18" s="35"/>
      <c r="G18" s="33"/>
      <c r="H18" s="34"/>
      <c r="I18" s="35"/>
      <c r="J18" s="23"/>
    </row>
    <row r="19" spans="1:10" ht="12.75" customHeight="1">
      <c r="A19" s="33"/>
      <c r="B19" s="34"/>
      <c r="C19" s="35"/>
      <c r="D19" s="33"/>
      <c r="E19" s="34"/>
      <c r="F19" s="35"/>
      <c r="G19" s="33"/>
      <c r="H19" s="34"/>
      <c r="I19" s="35"/>
      <c r="J19" s="23"/>
    </row>
    <row r="20" spans="1:10" ht="12.75" customHeight="1">
      <c r="A20" s="36" t="s">
        <v>204</v>
      </c>
      <c r="B20" s="37"/>
      <c r="C20" s="38"/>
      <c r="D20" s="36" t="s">
        <v>204</v>
      </c>
      <c r="E20" s="37"/>
      <c r="F20" s="38"/>
      <c r="G20" s="36" t="s">
        <v>204</v>
      </c>
      <c r="H20" s="37"/>
      <c r="I20" s="38"/>
      <c r="J20" s="23"/>
    </row>
    <row r="21" spans="1:9" ht="12.75">
      <c r="A21" s="31"/>
      <c r="B21" s="31"/>
      <c r="C21" s="31"/>
      <c r="D21" s="31"/>
      <c r="E21" s="31"/>
      <c r="F21" s="31"/>
      <c r="G21" s="31"/>
      <c r="H21" s="31"/>
      <c r="I21" s="31"/>
    </row>
  </sheetData>
  <sheetProtection/>
  <mergeCells count="50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8:G9"/>
    <mergeCell ref="F10:G11"/>
    <mergeCell ref="H2:H3"/>
    <mergeCell ref="H4:H5"/>
    <mergeCell ref="H6:H7"/>
    <mergeCell ref="H8:H9"/>
    <mergeCell ref="H10:H11"/>
    <mergeCell ref="D14:E14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G17:I17"/>
    <mergeCell ref="G18:I18"/>
    <mergeCell ref="G19:I19"/>
    <mergeCell ref="G20:I20"/>
    <mergeCell ref="A17:C17"/>
    <mergeCell ref="G14:H14"/>
    <mergeCell ref="A16:C16"/>
    <mergeCell ref="G16:I16"/>
    <mergeCell ref="D16:F16"/>
    <mergeCell ref="A14:B14"/>
    <mergeCell ref="A18:C18"/>
    <mergeCell ref="A19:C19"/>
    <mergeCell ref="A20:C20"/>
    <mergeCell ref="D17:F17"/>
    <mergeCell ref="D18:F18"/>
    <mergeCell ref="D19:F19"/>
    <mergeCell ref="D20:F20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71"/>
  <sheetViews>
    <sheetView view="pageBreakPreview" zoomScaleSheetLayoutView="100" zoomScalePageLayoutView="0" workbookViewId="0" topLeftCell="D18">
      <selection activeCell="G15" sqref="G15"/>
    </sheetView>
  </sheetViews>
  <sheetFormatPr defaultColWidth="11.57421875" defaultRowHeight="12.75"/>
  <cols>
    <col min="1" max="2" width="3.00390625" style="0" customWidth="1"/>
    <col min="3" max="3" width="10.7109375" style="0" customWidth="1"/>
    <col min="4" max="4" width="52.00390625" style="0" customWidth="1"/>
    <col min="5" max="5" width="3.421875" style="0" customWidth="1"/>
    <col min="6" max="6" width="11.140625" style="0" customWidth="1"/>
    <col min="7" max="7" width="9.57421875" style="0" customWidth="1"/>
    <col min="8" max="9" width="10.57421875" style="0" customWidth="1"/>
    <col min="10" max="10" width="10.7109375" style="0" customWidth="1"/>
    <col min="11" max="12" width="9.28125" style="0" customWidth="1"/>
    <col min="13" max="13" width="11.57421875" style="0" customWidth="1"/>
    <col min="14" max="37" width="9.7109375" style="0" hidden="1" customWidth="1"/>
  </cols>
  <sheetData>
    <row r="1" spans="1:12" ht="18.7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2.75">
      <c r="A2" s="58" t="s">
        <v>1</v>
      </c>
      <c r="B2" s="52"/>
      <c r="C2" s="52"/>
      <c r="D2" s="62" t="s">
        <v>116</v>
      </c>
      <c r="E2" s="51" t="s">
        <v>166</v>
      </c>
      <c r="F2" s="52"/>
      <c r="G2" s="51"/>
      <c r="H2" s="52"/>
      <c r="I2" s="51" t="s">
        <v>180</v>
      </c>
      <c r="J2" s="51"/>
      <c r="K2" s="52"/>
      <c r="L2" s="74"/>
      <c r="M2" s="22"/>
    </row>
    <row r="3" spans="1:13" ht="12.75">
      <c r="A3" s="59"/>
      <c r="B3" s="53"/>
      <c r="C3" s="53"/>
      <c r="D3" s="64"/>
      <c r="E3" s="53"/>
      <c r="F3" s="53"/>
      <c r="G3" s="53"/>
      <c r="H3" s="53"/>
      <c r="I3" s="53"/>
      <c r="J3" s="53"/>
      <c r="K3" s="53"/>
      <c r="L3" s="45"/>
      <c r="M3" s="22"/>
    </row>
    <row r="4" spans="1:13" ht="12.75">
      <c r="A4" s="60" t="s">
        <v>2</v>
      </c>
      <c r="B4" s="53"/>
      <c r="C4" s="53"/>
      <c r="D4" s="54"/>
      <c r="E4" s="54" t="s">
        <v>167</v>
      </c>
      <c r="F4" s="53"/>
      <c r="G4" s="65">
        <v>43565</v>
      </c>
      <c r="H4" s="53"/>
      <c r="I4" s="54" t="s">
        <v>181</v>
      </c>
      <c r="J4" s="54"/>
      <c r="K4" s="53"/>
      <c r="L4" s="45"/>
      <c r="M4" s="22"/>
    </row>
    <row r="5" spans="1:13" ht="12.75">
      <c r="A5" s="59"/>
      <c r="B5" s="53"/>
      <c r="C5" s="53"/>
      <c r="D5" s="53"/>
      <c r="E5" s="53"/>
      <c r="F5" s="53"/>
      <c r="G5" s="53"/>
      <c r="H5" s="53"/>
      <c r="I5" s="53"/>
      <c r="J5" s="53"/>
      <c r="K5" s="53"/>
      <c r="L5" s="45"/>
      <c r="M5" s="22"/>
    </row>
    <row r="6" spans="1:13" ht="12.75">
      <c r="A6" s="60" t="s">
        <v>3</v>
      </c>
      <c r="B6" s="53"/>
      <c r="C6" s="53"/>
      <c r="D6" s="54"/>
      <c r="E6" s="54" t="s">
        <v>168</v>
      </c>
      <c r="F6" s="53"/>
      <c r="G6" s="53"/>
      <c r="H6" s="53"/>
      <c r="I6" s="54" t="s">
        <v>182</v>
      </c>
      <c r="J6" s="54"/>
      <c r="K6" s="53"/>
      <c r="L6" s="45"/>
      <c r="M6" s="22"/>
    </row>
    <row r="7" spans="1:13" ht="12.75">
      <c r="A7" s="59"/>
      <c r="B7" s="53"/>
      <c r="C7" s="53"/>
      <c r="D7" s="53"/>
      <c r="E7" s="53"/>
      <c r="F7" s="53"/>
      <c r="G7" s="53"/>
      <c r="H7" s="53"/>
      <c r="I7" s="53"/>
      <c r="J7" s="53"/>
      <c r="K7" s="53"/>
      <c r="L7" s="45"/>
      <c r="M7" s="22"/>
    </row>
    <row r="8" spans="1:13" ht="12.75">
      <c r="A8" s="60" t="s">
        <v>4</v>
      </c>
      <c r="B8" s="53"/>
      <c r="C8" s="53"/>
      <c r="D8" s="54"/>
      <c r="E8" s="54" t="s">
        <v>169</v>
      </c>
      <c r="F8" s="53"/>
      <c r="G8" s="65">
        <v>43565</v>
      </c>
      <c r="H8" s="53"/>
      <c r="I8" s="54" t="s">
        <v>183</v>
      </c>
      <c r="J8" s="54" t="s">
        <v>185</v>
      </c>
      <c r="K8" s="53"/>
      <c r="L8" s="45"/>
      <c r="M8" s="22"/>
    </row>
    <row r="9" spans="1:13" ht="12.75">
      <c r="A9" s="78"/>
      <c r="B9" s="73"/>
      <c r="C9" s="73"/>
      <c r="D9" s="73"/>
      <c r="E9" s="73"/>
      <c r="F9" s="73"/>
      <c r="G9" s="73"/>
      <c r="H9" s="73"/>
      <c r="I9" s="73"/>
      <c r="J9" s="73"/>
      <c r="K9" s="73"/>
      <c r="L9" s="75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175</v>
      </c>
      <c r="H10" s="68" t="s">
        <v>177</v>
      </c>
      <c r="I10" s="69"/>
      <c r="J10" s="70"/>
      <c r="K10" s="68" t="s">
        <v>187</v>
      </c>
      <c r="L10" s="70"/>
      <c r="M10" s="23"/>
    </row>
    <row r="11" spans="1:24" ht="12.75">
      <c r="A11" s="2" t="s">
        <v>6</v>
      </c>
      <c r="B11" s="9" t="s">
        <v>56</v>
      </c>
      <c r="C11" s="9" t="s">
        <v>57</v>
      </c>
      <c r="D11" s="9" t="s">
        <v>117</v>
      </c>
      <c r="E11" s="9" t="s">
        <v>170</v>
      </c>
      <c r="F11" s="12" t="s">
        <v>174</v>
      </c>
      <c r="G11" s="16" t="s">
        <v>176</v>
      </c>
      <c r="H11" s="17" t="s">
        <v>178</v>
      </c>
      <c r="I11" s="18" t="s">
        <v>184</v>
      </c>
      <c r="J11" s="19" t="s">
        <v>186</v>
      </c>
      <c r="K11" s="17" t="s">
        <v>175</v>
      </c>
      <c r="L11" s="19" t="s">
        <v>186</v>
      </c>
      <c r="M11" s="23"/>
      <c r="P11" s="21" t="s">
        <v>188</v>
      </c>
      <c r="Q11" s="21" t="s">
        <v>189</v>
      </c>
      <c r="R11" s="21" t="s">
        <v>194</v>
      </c>
      <c r="S11" s="21" t="s">
        <v>195</v>
      </c>
      <c r="T11" s="21" t="s">
        <v>196</v>
      </c>
      <c r="U11" s="21" t="s">
        <v>197</v>
      </c>
      <c r="V11" s="21" t="s">
        <v>198</v>
      </c>
      <c r="W11" s="21" t="s">
        <v>199</v>
      </c>
      <c r="X11" s="21" t="s">
        <v>200</v>
      </c>
    </row>
    <row r="12" spans="1:12" ht="12.75">
      <c r="A12" s="3"/>
      <c r="B12" s="3"/>
      <c r="C12" s="10"/>
      <c r="D12" s="71" t="s">
        <v>118</v>
      </c>
      <c r="E12" s="72"/>
      <c r="F12" s="72"/>
      <c r="G12" s="72"/>
      <c r="H12" s="25">
        <f>H13+H40+H43+H45+H48+H56+H60+H62+H65</f>
        <v>0</v>
      </c>
      <c r="I12" s="25">
        <f>I13+I40+I43+I45+I48+I56+I60+I62+I65</f>
        <v>0</v>
      </c>
      <c r="J12" s="25">
        <f>H12+I12</f>
        <v>0</v>
      </c>
      <c r="K12" s="20"/>
      <c r="L12" s="25">
        <f>L13+L40+L43+L45+L48+L56+L60+L62+L65</f>
        <v>45.472800000000014</v>
      </c>
    </row>
    <row r="13" spans="1:37" ht="12.75">
      <c r="A13" s="4"/>
      <c r="B13" s="4"/>
      <c r="C13" s="11" t="s">
        <v>58</v>
      </c>
      <c r="D13" s="66" t="s">
        <v>119</v>
      </c>
      <c r="E13" s="67"/>
      <c r="F13" s="67"/>
      <c r="G13" s="67"/>
      <c r="H13" s="26">
        <f>SUM(H14:H39)</f>
        <v>0</v>
      </c>
      <c r="I13" s="26">
        <f>SUM(I14:I39)</f>
        <v>0</v>
      </c>
      <c r="J13" s="26">
        <f>SUM(J14:J39)</f>
        <v>0</v>
      </c>
      <c r="K13" s="21"/>
      <c r="L13" s="26">
        <f>SUM(L14:L39)</f>
        <v>25.318960000000004</v>
      </c>
      <c r="P13" s="26">
        <f>IF(Q13="PR",J13,SUM(O14:O39))</f>
        <v>0</v>
      </c>
      <c r="Q13" s="21" t="s">
        <v>190</v>
      </c>
      <c r="R13" s="26">
        <f>IF(Q13="HS",H13,0)</f>
        <v>0</v>
      </c>
      <c r="S13" s="26">
        <f>IF(Q13="HS",I13-P13,0)</f>
        <v>0</v>
      </c>
      <c r="T13" s="26">
        <f>IF(Q13="PS",H13,0)</f>
        <v>0</v>
      </c>
      <c r="U13" s="26">
        <f>IF(Q13="PS",I13-P13,0)</f>
        <v>0</v>
      </c>
      <c r="V13" s="26">
        <f>IF(Q13="MP",H13,0)</f>
        <v>0</v>
      </c>
      <c r="W13" s="26">
        <f>IF(Q13="MP",I13-P13,0)</f>
        <v>0</v>
      </c>
      <c r="X13" s="26">
        <f>IF(Q13="OM",H13,0)</f>
        <v>0</v>
      </c>
      <c r="Y13" s="21"/>
      <c r="AI13" s="26">
        <f>SUM(Z14:Z39)</f>
        <v>0</v>
      </c>
      <c r="AJ13" s="26">
        <f>SUM(AA14:AA39)</f>
        <v>0</v>
      </c>
      <c r="AK13" s="26">
        <f>SUM(AB14:AB39)</f>
        <v>0</v>
      </c>
    </row>
    <row r="14" spans="1:32" ht="12.75">
      <c r="A14" s="5" t="s">
        <v>7</v>
      </c>
      <c r="B14" s="5"/>
      <c r="C14" s="5" t="s">
        <v>59</v>
      </c>
      <c r="D14" s="5" t="s">
        <v>211</v>
      </c>
      <c r="E14" s="5" t="s">
        <v>171</v>
      </c>
      <c r="F14" s="13">
        <v>365</v>
      </c>
      <c r="G14" s="13"/>
      <c r="H14" s="13">
        <f aca="true" t="shared" si="0" ref="H14:H39">ROUND(F14*AE14,2)</f>
        <v>0</v>
      </c>
      <c r="I14" s="13">
        <f aca="true" t="shared" si="1" ref="I14:I39">J14-H14</f>
        <v>0</v>
      </c>
      <c r="J14" s="13">
        <f aca="true" t="shared" si="2" ref="J14:J39">ROUND(F14*G14,2)</f>
        <v>0</v>
      </c>
      <c r="K14" s="13">
        <v>0.00148</v>
      </c>
      <c r="L14" s="13">
        <f aca="true" t="shared" si="3" ref="L14:L39">F14*K14</f>
        <v>0.5402</v>
      </c>
      <c r="N14" s="24" t="s">
        <v>7</v>
      </c>
      <c r="O14" s="13">
        <f aca="true" t="shared" si="4" ref="O14:O39">IF(N14="5",I14,0)</f>
        <v>0</v>
      </c>
      <c r="Z14" s="13">
        <f aca="true" t="shared" si="5" ref="Z14:Z39">IF(AD14=0,J14,0)</f>
        <v>0</v>
      </c>
      <c r="AA14" s="13">
        <f aca="true" t="shared" si="6" ref="AA14:AA39">IF(AD14=10,J14,0)</f>
        <v>0</v>
      </c>
      <c r="AB14" s="13">
        <f aca="true" t="shared" si="7" ref="AB14:AB39">IF(AD14=20,J14,0)</f>
        <v>0</v>
      </c>
      <c r="AD14" s="13">
        <v>0</v>
      </c>
      <c r="AE14" s="13">
        <f>G14*0.1743961352657</f>
        <v>0</v>
      </c>
      <c r="AF14" s="13">
        <f>G14*(1-0.1743961352657)</f>
        <v>0</v>
      </c>
    </row>
    <row r="15" spans="1:32" ht="12.75">
      <c r="A15" s="5" t="s">
        <v>8</v>
      </c>
      <c r="B15" s="5"/>
      <c r="C15" s="5" t="s">
        <v>60</v>
      </c>
      <c r="D15" s="5" t="s">
        <v>120</v>
      </c>
      <c r="E15" s="5" t="s">
        <v>171</v>
      </c>
      <c r="F15" s="13">
        <v>62</v>
      </c>
      <c r="G15" s="13"/>
      <c r="H15" s="13">
        <f t="shared" si="0"/>
        <v>0</v>
      </c>
      <c r="I15" s="13">
        <f t="shared" si="1"/>
        <v>0</v>
      </c>
      <c r="J15" s="13">
        <f t="shared" si="2"/>
        <v>0</v>
      </c>
      <c r="K15" s="13">
        <v>0.0001</v>
      </c>
      <c r="L15" s="13">
        <f t="shared" si="3"/>
        <v>0.006200000000000001</v>
      </c>
      <c r="N15" s="24" t="s">
        <v>7</v>
      </c>
      <c r="O15" s="13">
        <f t="shared" si="4"/>
        <v>0</v>
      </c>
      <c r="Z15" s="13">
        <f t="shared" si="5"/>
        <v>0</v>
      </c>
      <c r="AA15" s="13">
        <f t="shared" si="6"/>
        <v>0</v>
      </c>
      <c r="AB15" s="13">
        <f t="shared" si="7"/>
        <v>0</v>
      </c>
      <c r="AD15" s="13">
        <v>0</v>
      </c>
      <c r="AE15" s="13">
        <f>G15*0.363581549593006</f>
        <v>0</v>
      </c>
      <c r="AF15" s="13">
        <f>G15*(1-0.363581549593006)</f>
        <v>0</v>
      </c>
    </row>
    <row r="16" spans="1:32" ht="12.75" hidden="1">
      <c r="A16" s="5" t="s">
        <v>9</v>
      </c>
      <c r="B16" s="5"/>
      <c r="C16" s="5" t="s">
        <v>61</v>
      </c>
      <c r="D16" s="5" t="s">
        <v>121</v>
      </c>
      <c r="E16" s="5" t="s">
        <v>171</v>
      </c>
      <c r="F16" s="13">
        <v>0</v>
      </c>
      <c r="G16" s="13"/>
      <c r="H16" s="13">
        <f t="shared" si="0"/>
        <v>0</v>
      </c>
      <c r="I16" s="13">
        <f t="shared" si="1"/>
        <v>0</v>
      </c>
      <c r="J16" s="13">
        <f t="shared" si="2"/>
        <v>0</v>
      </c>
      <c r="K16" s="13">
        <v>0</v>
      </c>
      <c r="L16" s="13">
        <f t="shared" si="3"/>
        <v>0</v>
      </c>
      <c r="N16" s="24" t="s">
        <v>7</v>
      </c>
      <c r="O16" s="13">
        <f t="shared" si="4"/>
        <v>0</v>
      </c>
      <c r="Z16" s="13">
        <f t="shared" si="5"/>
        <v>0</v>
      </c>
      <c r="AA16" s="13">
        <f t="shared" si="6"/>
        <v>0</v>
      </c>
      <c r="AB16" s="13">
        <f t="shared" si="7"/>
        <v>0</v>
      </c>
      <c r="AD16" s="13">
        <v>0</v>
      </c>
      <c r="AE16" s="13">
        <f>G16*0</f>
        <v>0</v>
      </c>
      <c r="AF16" s="13">
        <f>G16*(1-0)</f>
        <v>0</v>
      </c>
    </row>
    <row r="17" spans="1:32" ht="12.75">
      <c r="A17" s="5" t="s">
        <v>10</v>
      </c>
      <c r="B17" s="5"/>
      <c r="C17" s="5" t="s">
        <v>62</v>
      </c>
      <c r="D17" s="5" t="s">
        <v>122</v>
      </c>
      <c r="E17" s="5" t="s">
        <v>171</v>
      </c>
      <c r="F17" s="13">
        <v>15</v>
      </c>
      <c r="G17" s="13"/>
      <c r="H17" s="13">
        <f t="shared" si="0"/>
        <v>0</v>
      </c>
      <c r="I17" s="13">
        <f t="shared" si="1"/>
        <v>0</v>
      </c>
      <c r="J17" s="13">
        <f t="shared" si="2"/>
        <v>0</v>
      </c>
      <c r="K17" s="13">
        <v>0.00483</v>
      </c>
      <c r="L17" s="13">
        <f t="shared" si="3"/>
        <v>0.07245</v>
      </c>
      <c r="N17" s="24" t="s">
        <v>7</v>
      </c>
      <c r="O17" s="13">
        <f t="shared" si="4"/>
        <v>0</v>
      </c>
      <c r="Z17" s="13">
        <f t="shared" si="5"/>
        <v>0</v>
      </c>
      <c r="AA17" s="13">
        <f t="shared" si="6"/>
        <v>0</v>
      </c>
      <c r="AB17" s="13">
        <f t="shared" si="7"/>
        <v>0</v>
      </c>
      <c r="AD17" s="13">
        <v>0</v>
      </c>
      <c r="AE17" s="13">
        <f>G17*0.115518744551003</f>
        <v>0</v>
      </c>
      <c r="AF17" s="13">
        <f>G17*(1-0.115518744551003)</f>
        <v>0</v>
      </c>
    </row>
    <row r="18" spans="1:32" ht="12.75">
      <c r="A18" s="5" t="s">
        <v>11</v>
      </c>
      <c r="B18" s="5"/>
      <c r="C18" s="5" t="s">
        <v>63</v>
      </c>
      <c r="D18" s="5" t="s">
        <v>123</v>
      </c>
      <c r="E18" s="5" t="s">
        <v>171</v>
      </c>
      <c r="F18" s="13">
        <v>4</v>
      </c>
      <c r="G18" s="13"/>
      <c r="H18" s="13">
        <f t="shared" si="0"/>
        <v>0</v>
      </c>
      <c r="I18" s="13">
        <f t="shared" si="1"/>
        <v>0</v>
      </c>
      <c r="J18" s="13">
        <f t="shared" si="2"/>
        <v>0</v>
      </c>
      <c r="K18" s="13">
        <v>0.0416</v>
      </c>
      <c r="L18" s="13">
        <f t="shared" si="3"/>
        <v>0.1664</v>
      </c>
      <c r="N18" s="24" t="s">
        <v>7</v>
      </c>
      <c r="O18" s="13">
        <f t="shared" si="4"/>
        <v>0</v>
      </c>
      <c r="Z18" s="13">
        <f t="shared" si="5"/>
        <v>0</v>
      </c>
      <c r="AA18" s="13">
        <f t="shared" si="6"/>
        <v>0</v>
      </c>
      <c r="AB18" s="13">
        <f t="shared" si="7"/>
        <v>0</v>
      </c>
      <c r="AD18" s="13">
        <v>0</v>
      </c>
      <c r="AE18" s="13">
        <f>G18*0.241499718400515</f>
        <v>0</v>
      </c>
      <c r="AF18" s="13">
        <f>G18*(1-0.241499718400515)</f>
        <v>0</v>
      </c>
    </row>
    <row r="19" spans="1:32" ht="12.75">
      <c r="A19" s="5" t="s">
        <v>12</v>
      </c>
      <c r="B19" s="5"/>
      <c r="C19" s="5" t="s">
        <v>64</v>
      </c>
      <c r="D19" s="5" t="s">
        <v>124</v>
      </c>
      <c r="E19" s="5" t="s">
        <v>171</v>
      </c>
      <c r="F19" s="13">
        <v>4</v>
      </c>
      <c r="G19" s="13"/>
      <c r="H19" s="13">
        <f t="shared" si="0"/>
        <v>0</v>
      </c>
      <c r="I19" s="13">
        <f t="shared" si="1"/>
        <v>0</v>
      </c>
      <c r="J19" s="13">
        <f t="shared" si="2"/>
        <v>0</v>
      </c>
      <c r="K19" s="13">
        <v>0.00707</v>
      </c>
      <c r="L19" s="13">
        <f t="shared" si="3"/>
        <v>0.02828</v>
      </c>
      <c r="N19" s="24" t="s">
        <v>7</v>
      </c>
      <c r="O19" s="13">
        <f t="shared" si="4"/>
        <v>0</v>
      </c>
      <c r="Z19" s="13">
        <f t="shared" si="5"/>
        <v>0</v>
      </c>
      <c r="AA19" s="13">
        <f t="shared" si="6"/>
        <v>0</v>
      </c>
      <c r="AB19" s="13">
        <f t="shared" si="7"/>
        <v>0</v>
      </c>
      <c r="AD19" s="13">
        <v>0</v>
      </c>
      <c r="AE19" s="13">
        <f>G19*0.178697962798937</f>
        <v>0</v>
      </c>
      <c r="AF19" s="13">
        <f>G19*(1-0.178697962798937)</f>
        <v>0</v>
      </c>
    </row>
    <row r="20" spans="1:32" ht="12.75" hidden="1">
      <c r="A20" s="5" t="s">
        <v>13</v>
      </c>
      <c r="B20" s="5"/>
      <c r="C20" s="5" t="s">
        <v>65</v>
      </c>
      <c r="D20" s="5" t="s">
        <v>125</v>
      </c>
      <c r="E20" s="5" t="s">
        <v>171</v>
      </c>
      <c r="F20" s="13">
        <v>0</v>
      </c>
      <c r="G20" s="13"/>
      <c r="H20" s="13">
        <f t="shared" si="0"/>
        <v>0</v>
      </c>
      <c r="I20" s="13">
        <f t="shared" si="1"/>
        <v>0</v>
      </c>
      <c r="J20" s="13">
        <f t="shared" si="2"/>
        <v>0</v>
      </c>
      <c r="K20" s="13">
        <v>0.06171</v>
      </c>
      <c r="L20" s="13">
        <f t="shared" si="3"/>
        <v>0</v>
      </c>
      <c r="N20" s="24" t="s">
        <v>7</v>
      </c>
      <c r="O20" s="13">
        <f t="shared" si="4"/>
        <v>0</v>
      </c>
      <c r="Z20" s="13">
        <f t="shared" si="5"/>
        <v>0</v>
      </c>
      <c r="AA20" s="13">
        <f t="shared" si="6"/>
        <v>0</v>
      </c>
      <c r="AB20" s="13">
        <f t="shared" si="7"/>
        <v>0</v>
      </c>
      <c r="AD20" s="13">
        <v>0</v>
      </c>
      <c r="AE20" s="13">
        <f>G20*0.0989702687420017</f>
        <v>0</v>
      </c>
      <c r="AF20" s="13">
        <f>G20*(1-0.0989702687420017)</f>
        <v>0</v>
      </c>
    </row>
    <row r="21" spans="1:32" ht="12.75">
      <c r="A21" s="5" t="s">
        <v>14</v>
      </c>
      <c r="B21" s="5"/>
      <c r="C21" s="5" t="s">
        <v>66</v>
      </c>
      <c r="D21" s="5" t="s">
        <v>126</v>
      </c>
      <c r="E21" s="5" t="s">
        <v>171</v>
      </c>
      <c r="F21" s="13">
        <v>4</v>
      </c>
      <c r="G21" s="13"/>
      <c r="H21" s="13">
        <f t="shared" si="0"/>
        <v>0</v>
      </c>
      <c r="I21" s="13">
        <f t="shared" si="1"/>
        <v>0</v>
      </c>
      <c r="J21" s="13">
        <f t="shared" si="2"/>
        <v>0</v>
      </c>
      <c r="K21" s="13">
        <v>0.0006</v>
      </c>
      <c r="L21" s="13">
        <f t="shared" si="3"/>
        <v>0.0024</v>
      </c>
      <c r="N21" s="24" t="s">
        <v>7</v>
      </c>
      <c r="O21" s="13">
        <f t="shared" si="4"/>
        <v>0</v>
      </c>
      <c r="Z21" s="13">
        <f t="shared" si="5"/>
        <v>0</v>
      </c>
      <c r="AA21" s="13">
        <f t="shared" si="6"/>
        <v>0</v>
      </c>
      <c r="AB21" s="13">
        <f t="shared" si="7"/>
        <v>0</v>
      </c>
      <c r="AD21" s="13">
        <v>0</v>
      </c>
      <c r="AE21" s="13">
        <f>G21*0.0268009559576647</f>
        <v>0</v>
      </c>
      <c r="AF21" s="13">
        <f>G21*(1-0.0268009559576647)</f>
        <v>0</v>
      </c>
    </row>
    <row r="22" spans="1:32" ht="12.75">
      <c r="A22" s="5" t="s">
        <v>15</v>
      </c>
      <c r="B22" s="5"/>
      <c r="C22" s="5" t="s">
        <v>67</v>
      </c>
      <c r="D22" s="5" t="s">
        <v>127</v>
      </c>
      <c r="E22" s="5" t="s">
        <v>171</v>
      </c>
      <c r="F22" s="13">
        <v>4</v>
      </c>
      <c r="G22" s="13"/>
      <c r="H22" s="13">
        <f t="shared" si="0"/>
        <v>0</v>
      </c>
      <c r="I22" s="13">
        <f t="shared" si="1"/>
        <v>0</v>
      </c>
      <c r="J22" s="13">
        <f t="shared" si="2"/>
        <v>0</v>
      </c>
      <c r="K22" s="13">
        <v>7E-05</v>
      </c>
      <c r="L22" s="13">
        <f t="shared" si="3"/>
        <v>0.00028</v>
      </c>
      <c r="N22" s="24" t="s">
        <v>7</v>
      </c>
      <c r="O22" s="13">
        <f t="shared" si="4"/>
        <v>0</v>
      </c>
      <c r="Z22" s="13">
        <f t="shared" si="5"/>
        <v>0</v>
      </c>
      <c r="AA22" s="13">
        <f t="shared" si="6"/>
        <v>0</v>
      </c>
      <c r="AB22" s="13">
        <f t="shared" si="7"/>
        <v>0</v>
      </c>
      <c r="AD22" s="13">
        <v>0</v>
      </c>
      <c r="AE22" s="13">
        <f>G22*0.782724844167409</f>
        <v>0</v>
      </c>
      <c r="AF22" s="13">
        <f>G22*(1-0.782724844167409)</f>
        <v>0</v>
      </c>
    </row>
    <row r="23" spans="1:32" ht="12.75" hidden="1">
      <c r="A23" s="5" t="s">
        <v>16</v>
      </c>
      <c r="B23" s="5"/>
      <c r="C23" s="5" t="s">
        <v>68</v>
      </c>
      <c r="D23" s="5" t="s">
        <v>128</v>
      </c>
      <c r="E23" s="5" t="s">
        <v>171</v>
      </c>
      <c r="F23" s="13">
        <v>0</v>
      </c>
      <c r="G23" s="13"/>
      <c r="H23" s="13">
        <f t="shared" si="0"/>
        <v>0</v>
      </c>
      <c r="I23" s="13">
        <f t="shared" si="1"/>
        <v>0</v>
      </c>
      <c r="J23" s="13">
        <f t="shared" si="2"/>
        <v>0</v>
      </c>
      <c r="K23" s="13">
        <v>0.01017</v>
      </c>
      <c r="L23" s="13">
        <f t="shared" si="3"/>
        <v>0</v>
      </c>
      <c r="N23" s="24" t="s">
        <v>7</v>
      </c>
      <c r="O23" s="13">
        <f t="shared" si="4"/>
        <v>0</v>
      </c>
      <c r="Z23" s="13">
        <f t="shared" si="5"/>
        <v>0</v>
      </c>
      <c r="AA23" s="13">
        <f t="shared" si="6"/>
        <v>0</v>
      </c>
      <c r="AB23" s="13">
        <f t="shared" si="7"/>
        <v>0</v>
      </c>
      <c r="AD23" s="13">
        <v>0</v>
      </c>
      <c r="AE23" s="13">
        <f>G23*0.608582291104001</f>
        <v>0</v>
      </c>
      <c r="AF23" s="13">
        <f>G23*(1-0.608582291104001)</f>
        <v>0</v>
      </c>
    </row>
    <row r="24" spans="1:32" ht="12.75">
      <c r="A24" s="5" t="s">
        <v>17</v>
      </c>
      <c r="B24" s="5"/>
      <c r="C24" s="5" t="s">
        <v>69</v>
      </c>
      <c r="D24" s="5" t="s">
        <v>129</v>
      </c>
      <c r="E24" s="5" t="s">
        <v>171</v>
      </c>
      <c r="F24" s="13">
        <v>20</v>
      </c>
      <c r="G24" s="13"/>
      <c r="H24" s="13">
        <f t="shared" si="0"/>
        <v>0</v>
      </c>
      <c r="I24" s="13">
        <f t="shared" si="1"/>
        <v>0</v>
      </c>
      <c r="J24" s="13">
        <f t="shared" si="2"/>
        <v>0</v>
      </c>
      <c r="K24" s="13">
        <v>0</v>
      </c>
      <c r="L24" s="13">
        <f t="shared" si="3"/>
        <v>0</v>
      </c>
      <c r="N24" s="24" t="s">
        <v>7</v>
      </c>
      <c r="O24" s="13">
        <f t="shared" si="4"/>
        <v>0</v>
      </c>
      <c r="Z24" s="13">
        <f t="shared" si="5"/>
        <v>0</v>
      </c>
      <c r="AA24" s="13">
        <f t="shared" si="6"/>
        <v>0</v>
      </c>
      <c r="AB24" s="13">
        <f t="shared" si="7"/>
        <v>0</v>
      </c>
      <c r="AD24" s="13">
        <v>0</v>
      </c>
      <c r="AE24" s="13">
        <f>G24*0</f>
        <v>0</v>
      </c>
      <c r="AF24" s="13">
        <f>G24*(1-0)</f>
        <v>0</v>
      </c>
    </row>
    <row r="25" spans="1:32" ht="12.75">
      <c r="A25" s="5" t="s">
        <v>18</v>
      </c>
      <c r="B25" s="5"/>
      <c r="C25" s="5" t="s">
        <v>70</v>
      </c>
      <c r="D25" s="5" t="s">
        <v>130</v>
      </c>
      <c r="E25" s="5" t="s">
        <v>171</v>
      </c>
      <c r="F25" s="13">
        <v>45</v>
      </c>
      <c r="G25" s="13"/>
      <c r="H25" s="13">
        <f t="shared" si="0"/>
        <v>0</v>
      </c>
      <c r="I25" s="13">
        <f t="shared" si="1"/>
        <v>0</v>
      </c>
      <c r="J25" s="13">
        <f t="shared" si="2"/>
        <v>0</v>
      </c>
      <c r="K25" s="13">
        <v>0</v>
      </c>
      <c r="L25" s="13">
        <f t="shared" si="3"/>
        <v>0</v>
      </c>
      <c r="N25" s="24" t="s">
        <v>7</v>
      </c>
      <c r="O25" s="13">
        <f t="shared" si="4"/>
        <v>0</v>
      </c>
      <c r="Z25" s="13">
        <f t="shared" si="5"/>
        <v>0</v>
      </c>
      <c r="AA25" s="13">
        <f t="shared" si="6"/>
        <v>0</v>
      </c>
      <c r="AB25" s="13">
        <f t="shared" si="7"/>
        <v>0</v>
      </c>
      <c r="AD25" s="13">
        <v>0</v>
      </c>
      <c r="AE25" s="13">
        <f>G25*0.024024024024024</f>
        <v>0</v>
      </c>
      <c r="AF25" s="13">
        <f>G25*(1-0.024024024024024)</f>
        <v>0</v>
      </c>
    </row>
    <row r="26" spans="1:32" ht="12.75">
      <c r="A26" s="5" t="s">
        <v>19</v>
      </c>
      <c r="B26" s="5"/>
      <c r="C26" s="5" t="s">
        <v>71</v>
      </c>
      <c r="D26" s="5" t="s">
        <v>212</v>
      </c>
      <c r="E26" s="5" t="s">
        <v>171</v>
      </c>
      <c r="F26" s="13">
        <v>60</v>
      </c>
      <c r="G26" s="13"/>
      <c r="H26" s="13">
        <f t="shared" si="0"/>
        <v>0</v>
      </c>
      <c r="I26" s="13">
        <f t="shared" si="1"/>
        <v>0</v>
      </c>
      <c r="J26" s="13">
        <f t="shared" si="2"/>
        <v>0</v>
      </c>
      <c r="K26" s="13">
        <v>0.03555</v>
      </c>
      <c r="L26" s="13">
        <f t="shared" si="3"/>
        <v>2.133</v>
      </c>
      <c r="N26" s="24" t="s">
        <v>7</v>
      </c>
      <c r="O26" s="13">
        <f t="shared" si="4"/>
        <v>0</v>
      </c>
      <c r="Z26" s="13">
        <f t="shared" si="5"/>
        <v>0</v>
      </c>
      <c r="AA26" s="13">
        <f t="shared" si="6"/>
        <v>0</v>
      </c>
      <c r="AB26" s="13">
        <f t="shared" si="7"/>
        <v>0</v>
      </c>
      <c r="AD26" s="13">
        <v>0</v>
      </c>
      <c r="AE26" s="13">
        <f>G26*0.533008455162647</f>
        <v>0</v>
      </c>
      <c r="AF26" s="13">
        <f>G26*(1-0.533008455162647)</f>
        <v>0</v>
      </c>
    </row>
    <row r="27" spans="1:32" ht="12.75">
      <c r="A27" s="5" t="s">
        <v>20</v>
      </c>
      <c r="B27" s="5"/>
      <c r="C27" s="5" t="s">
        <v>72</v>
      </c>
      <c r="D27" s="5" t="s">
        <v>131</v>
      </c>
      <c r="E27" s="5" t="s">
        <v>171</v>
      </c>
      <c r="F27" s="13">
        <v>98</v>
      </c>
      <c r="G27" s="13"/>
      <c r="H27" s="13">
        <f t="shared" si="0"/>
        <v>0</v>
      </c>
      <c r="I27" s="13">
        <f t="shared" si="1"/>
        <v>0</v>
      </c>
      <c r="J27" s="13">
        <f t="shared" si="2"/>
        <v>0</v>
      </c>
      <c r="K27" s="13">
        <v>0.04817</v>
      </c>
      <c r="L27" s="13">
        <f t="shared" si="3"/>
        <v>4.72066</v>
      </c>
      <c r="N27" s="24" t="s">
        <v>7</v>
      </c>
      <c r="O27" s="13">
        <f t="shared" si="4"/>
        <v>0</v>
      </c>
      <c r="Z27" s="13">
        <f t="shared" si="5"/>
        <v>0</v>
      </c>
      <c r="AA27" s="13">
        <f t="shared" si="6"/>
        <v>0</v>
      </c>
      <c r="AB27" s="13">
        <f t="shared" si="7"/>
        <v>0</v>
      </c>
      <c r="AD27" s="13">
        <v>0</v>
      </c>
      <c r="AE27" s="13">
        <f>G27*0.167230671972035</f>
        <v>0</v>
      </c>
      <c r="AF27" s="13">
        <f>G27*(1-0.167230671972035)</f>
        <v>0</v>
      </c>
    </row>
    <row r="28" spans="1:32" ht="12.75">
      <c r="A28" s="5" t="s">
        <v>21</v>
      </c>
      <c r="B28" s="5"/>
      <c r="C28" s="5" t="s">
        <v>73</v>
      </c>
      <c r="D28" s="5" t="s">
        <v>132</v>
      </c>
      <c r="E28" s="5" t="s">
        <v>171</v>
      </c>
      <c r="F28" s="13">
        <v>15</v>
      </c>
      <c r="G28" s="13"/>
      <c r="H28" s="13">
        <f t="shared" si="0"/>
        <v>0</v>
      </c>
      <c r="I28" s="13">
        <f t="shared" si="1"/>
        <v>0</v>
      </c>
      <c r="J28" s="13">
        <f t="shared" si="2"/>
        <v>0</v>
      </c>
      <c r="K28" s="13">
        <v>0.07569</v>
      </c>
      <c r="L28" s="13">
        <f t="shared" si="3"/>
        <v>1.1353499999999999</v>
      </c>
      <c r="N28" s="24" t="s">
        <v>7</v>
      </c>
      <c r="O28" s="13">
        <f t="shared" si="4"/>
        <v>0</v>
      </c>
      <c r="Z28" s="13">
        <f t="shared" si="5"/>
        <v>0</v>
      </c>
      <c r="AA28" s="13">
        <f t="shared" si="6"/>
        <v>0</v>
      </c>
      <c r="AB28" s="13">
        <f t="shared" si="7"/>
        <v>0</v>
      </c>
      <c r="AD28" s="13">
        <v>0</v>
      </c>
      <c r="AE28" s="13">
        <f>G28*0.0723863590119237</f>
        <v>0</v>
      </c>
      <c r="AF28" s="13">
        <f>G28*(1-0.0723863590119237)</f>
        <v>0</v>
      </c>
    </row>
    <row r="29" spans="1:32" ht="12.75">
      <c r="A29" s="5" t="s">
        <v>22</v>
      </c>
      <c r="B29" s="5"/>
      <c r="C29" s="5" t="s">
        <v>74</v>
      </c>
      <c r="D29" s="5" t="s">
        <v>133</v>
      </c>
      <c r="E29" s="5" t="s">
        <v>171</v>
      </c>
      <c r="F29" s="13">
        <v>12</v>
      </c>
      <c r="G29" s="13"/>
      <c r="H29" s="13">
        <f t="shared" si="0"/>
        <v>0</v>
      </c>
      <c r="I29" s="13">
        <f t="shared" si="1"/>
        <v>0</v>
      </c>
      <c r="J29" s="13">
        <f t="shared" si="2"/>
        <v>0</v>
      </c>
      <c r="K29" s="13">
        <v>0.08706</v>
      </c>
      <c r="L29" s="13">
        <f t="shared" si="3"/>
        <v>1.0447199999999999</v>
      </c>
      <c r="N29" s="24" t="s">
        <v>7</v>
      </c>
      <c r="O29" s="13">
        <f t="shared" si="4"/>
        <v>0</v>
      </c>
      <c r="Z29" s="13">
        <f t="shared" si="5"/>
        <v>0</v>
      </c>
      <c r="AA29" s="13">
        <f t="shared" si="6"/>
        <v>0</v>
      </c>
      <c r="AB29" s="13">
        <f t="shared" si="7"/>
        <v>0</v>
      </c>
      <c r="AD29" s="13">
        <v>0</v>
      </c>
      <c r="AE29" s="13">
        <f>G29*0.0729917243347364</f>
        <v>0</v>
      </c>
      <c r="AF29" s="13">
        <f>G29*(1-0.0729917243347364)</f>
        <v>0</v>
      </c>
    </row>
    <row r="30" spans="1:32" ht="12.75">
      <c r="A30" s="5" t="s">
        <v>23</v>
      </c>
      <c r="B30" s="5"/>
      <c r="C30" s="5" t="s">
        <v>75</v>
      </c>
      <c r="D30" s="5" t="s">
        <v>134</v>
      </c>
      <c r="E30" s="5" t="s">
        <v>171</v>
      </c>
      <c r="F30" s="13">
        <v>103</v>
      </c>
      <c r="G30" s="13"/>
      <c r="H30" s="13">
        <f t="shared" si="0"/>
        <v>0</v>
      </c>
      <c r="I30" s="13">
        <f t="shared" si="1"/>
        <v>0</v>
      </c>
      <c r="J30" s="13">
        <f t="shared" si="2"/>
        <v>0</v>
      </c>
      <c r="K30" s="13">
        <v>0.03747</v>
      </c>
      <c r="L30" s="13">
        <f t="shared" si="3"/>
        <v>3.8594100000000005</v>
      </c>
      <c r="N30" s="24" t="s">
        <v>7</v>
      </c>
      <c r="O30" s="13">
        <f t="shared" si="4"/>
        <v>0</v>
      </c>
      <c r="Z30" s="13">
        <f t="shared" si="5"/>
        <v>0</v>
      </c>
      <c r="AA30" s="13">
        <f t="shared" si="6"/>
        <v>0</v>
      </c>
      <c r="AB30" s="13">
        <f t="shared" si="7"/>
        <v>0</v>
      </c>
      <c r="AD30" s="13">
        <v>0</v>
      </c>
      <c r="AE30" s="13">
        <f>G30*0.211769415532426</f>
        <v>0</v>
      </c>
      <c r="AF30" s="13">
        <f>G30*(1-0.211769415532426)</f>
        <v>0</v>
      </c>
    </row>
    <row r="31" spans="1:32" ht="12.75">
      <c r="A31" s="5" t="s">
        <v>24</v>
      </c>
      <c r="B31" s="5"/>
      <c r="C31" s="5" t="s">
        <v>76</v>
      </c>
      <c r="D31" s="5" t="s">
        <v>214</v>
      </c>
      <c r="E31" s="5" t="s">
        <v>173</v>
      </c>
      <c r="F31" s="13">
        <v>72</v>
      </c>
      <c r="G31" s="13"/>
      <c r="H31" s="13">
        <f t="shared" si="0"/>
        <v>0</v>
      </c>
      <c r="I31" s="13">
        <f t="shared" si="1"/>
        <v>0</v>
      </c>
      <c r="J31" s="13">
        <f t="shared" si="2"/>
        <v>0</v>
      </c>
      <c r="K31" s="13">
        <v>0.02166</v>
      </c>
      <c r="L31" s="13">
        <f t="shared" si="3"/>
        <v>1.55952</v>
      </c>
      <c r="N31" s="24" t="s">
        <v>7</v>
      </c>
      <c r="O31" s="13">
        <f t="shared" si="4"/>
        <v>0</v>
      </c>
      <c r="Z31" s="13">
        <f t="shared" si="5"/>
        <v>0</v>
      </c>
      <c r="AA31" s="13">
        <f t="shared" si="6"/>
        <v>0</v>
      </c>
      <c r="AB31" s="13">
        <f t="shared" si="7"/>
        <v>0</v>
      </c>
      <c r="AD31" s="13">
        <v>0</v>
      </c>
      <c r="AE31" s="13">
        <f>G31*0.133360229514076</f>
        <v>0</v>
      </c>
      <c r="AF31" s="13">
        <f>G31*(1-0.133360229514076)</f>
        <v>0</v>
      </c>
    </row>
    <row r="32" spans="1:32" ht="12.75">
      <c r="A32" s="5" t="s">
        <v>25</v>
      </c>
      <c r="B32" s="5"/>
      <c r="C32" s="5" t="s">
        <v>77</v>
      </c>
      <c r="D32" s="5" t="s">
        <v>135</v>
      </c>
      <c r="E32" s="5" t="s">
        <v>171</v>
      </c>
      <c r="F32" s="13">
        <v>185</v>
      </c>
      <c r="G32" s="13"/>
      <c r="H32" s="13">
        <f t="shared" si="0"/>
        <v>0</v>
      </c>
      <c r="I32" s="13">
        <f t="shared" si="1"/>
        <v>0</v>
      </c>
      <c r="J32" s="13">
        <f t="shared" si="2"/>
        <v>0</v>
      </c>
      <c r="K32" s="13">
        <v>0.04593</v>
      </c>
      <c r="L32" s="13">
        <f t="shared" si="3"/>
        <v>8.49705</v>
      </c>
      <c r="N32" s="24" t="s">
        <v>7</v>
      </c>
      <c r="O32" s="13">
        <f t="shared" si="4"/>
        <v>0</v>
      </c>
      <c r="Z32" s="13">
        <f t="shared" si="5"/>
        <v>0</v>
      </c>
      <c r="AA32" s="13">
        <f t="shared" si="6"/>
        <v>0</v>
      </c>
      <c r="AB32" s="13">
        <f t="shared" si="7"/>
        <v>0</v>
      </c>
      <c r="AD32" s="13">
        <v>0</v>
      </c>
      <c r="AE32" s="13">
        <f>G32*0.115904734395925</f>
        <v>0</v>
      </c>
      <c r="AF32" s="13">
        <f>G32*(1-0.115904734395925)</f>
        <v>0</v>
      </c>
    </row>
    <row r="33" spans="1:32" ht="12.75">
      <c r="A33" s="5" t="s">
        <v>26</v>
      </c>
      <c r="B33" s="5"/>
      <c r="C33" s="5" t="s">
        <v>78</v>
      </c>
      <c r="D33" s="5" t="s">
        <v>136</v>
      </c>
      <c r="E33" s="5" t="s">
        <v>171</v>
      </c>
      <c r="F33" s="13">
        <v>15</v>
      </c>
      <c r="G33" s="13"/>
      <c r="H33" s="13">
        <f t="shared" si="0"/>
        <v>0</v>
      </c>
      <c r="I33" s="13">
        <f t="shared" si="1"/>
        <v>0</v>
      </c>
      <c r="J33" s="13">
        <f t="shared" si="2"/>
        <v>0</v>
      </c>
      <c r="K33" s="13">
        <v>0.06898</v>
      </c>
      <c r="L33" s="13">
        <f t="shared" si="3"/>
        <v>1.0347</v>
      </c>
      <c r="N33" s="24" t="s">
        <v>7</v>
      </c>
      <c r="O33" s="13">
        <f t="shared" si="4"/>
        <v>0</v>
      </c>
      <c r="Z33" s="13">
        <f t="shared" si="5"/>
        <v>0</v>
      </c>
      <c r="AA33" s="13">
        <f t="shared" si="6"/>
        <v>0</v>
      </c>
      <c r="AB33" s="13">
        <f t="shared" si="7"/>
        <v>0</v>
      </c>
      <c r="AD33" s="13">
        <v>0</v>
      </c>
      <c r="AE33" s="13">
        <f>G33*0.0886704545454546</f>
        <v>0</v>
      </c>
      <c r="AF33" s="13">
        <f>G33*(1-0.0886704545454546)</f>
        <v>0</v>
      </c>
    </row>
    <row r="34" spans="1:32" ht="12.75">
      <c r="A34" s="5" t="s">
        <v>27</v>
      </c>
      <c r="B34" s="5"/>
      <c r="C34" s="5" t="s">
        <v>79</v>
      </c>
      <c r="D34" s="5" t="s">
        <v>137</v>
      </c>
      <c r="E34" s="5" t="s">
        <v>171</v>
      </c>
      <c r="F34" s="13">
        <v>195</v>
      </c>
      <c r="G34" s="13"/>
      <c r="H34" s="13">
        <f t="shared" si="0"/>
        <v>0</v>
      </c>
      <c r="I34" s="13">
        <f t="shared" si="1"/>
        <v>0</v>
      </c>
      <c r="J34" s="13">
        <f t="shared" si="2"/>
        <v>0</v>
      </c>
      <c r="K34" s="13">
        <v>0.00054</v>
      </c>
      <c r="L34" s="13">
        <f t="shared" si="3"/>
        <v>0.1053</v>
      </c>
      <c r="N34" s="24" t="s">
        <v>7</v>
      </c>
      <c r="O34" s="13">
        <f t="shared" si="4"/>
        <v>0</v>
      </c>
      <c r="Z34" s="13">
        <f t="shared" si="5"/>
        <v>0</v>
      </c>
      <c r="AA34" s="13">
        <f t="shared" si="6"/>
        <v>0</v>
      </c>
      <c r="AB34" s="13">
        <f t="shared" si="7"/>
        <v>0</v>
      </c>
      <c r="AD34" s="13">
        <v>0</v>
      </c>
      <c r="AE34" s="13">
        <f>G34*0.319373305212413</f>
        <v>0</v>
      </c>
      <c r="AF34" s="13">
        <f>G34*(1-0.319373305212413)</f>
        <v>0</v>
      </c>
    </row>
    <row r="35" spans="1:32" ht="12.75">
      <c r="A35" s="5" t="s">
        <v>28</v>
      </c>
      <c r="B35" s="5"/>
      <c r="C35" s="5" t="s">
        <v>80</v>
      </c>
      <c r="D35" s="5" t="s">
        <v>138</v>
      </c>
      <c r="E35" s="5" t="s">
        <v>171</v>
      </c>
      <c r="F35" s="13">
        <v>185</v>
      </c>
      <c r="G35" s="13"/>
      <c r="H35" s="13">
        <f t="shared" si="0"/>
        <v>0</v>
      </c>
      <c r="I35" s="13">
        <f t="shared" si="1"/>
        <v>0</v>
      </c>
      <c r="J35" s="13">
        <f t="shared" si="2"/>
        <v>0</v>
      </c>
      <c r="K35" s="13">
        <v>0.00076</v>
      </c>
      <c r="L35" s="13">
        <f t="shared" si="3"/>
        <v>0.1406</v>
      </c>
      <c r="N35" s="24" t="s">
        <v>7</v>
      </c>
      <c r="O35" s="13">
        <f t="shared" si="4"/>
        <v>0</v>
      </c>
      <c r="Z35" s="13">
        <f t="shared" si="5"/>
        <v>0</v>
      </c>
      <c r="AA35" s="13">
        <f t="shared" si="6"/>
        <v>0</v>
      </c>
      <c r="AB35" s="13">
        <f t="shared" si="7"/>
        <v>0</v>
      </c>
      <c r="AD35" s="13">
        <v>0</v>
      </c>
      <c r="AE35" s="13">
        <f>G35*0.281791082640959</f>
        <v>0</v>
      </c>
      <c r="AF35" s="13">
        <f>G35*(1-0.281791082640959)</f>
        <v>0</v>
      </c>
    </row>
    <row r="36" spans="1:32" ht="12.75">
      <c r="A36" s="5" t="s">
        <v>29</v>
      </c>
      <c r="B36" s="5"/>
      <c r="C36" s="5" t="s">
        <v>81</v>
      </c>
      <c r="D36" s="5" t="s">
        <v>139</v>
      </c>
      <c r="E36" s="5" t="s">
        <v>171</v>
      </c>
      <c r="F36" s="13">
        <v>12</v>
      </c>
      <c r="G36" s="13"/>
      <c r="H36" s="13">
        <f t="shared" si="0"/>
        <v>0</v>
      </c>
      <c r="I36" s="13">
        <f t="shared" si="1"/>
        <v>0</v>
      </c>
      <c r="J36" s="13">
        <f t="shared" si="2"/>
        <v>0</v>
      </c>
      <c r="K36" s="13">
        <v>0.00082</v>
      </c>
      <c r="L36" s="13">
        <f t="shared" si="3"/>
        <v>0.00984</v>
      </c>
      <c r="N36" s="24" t="s">
        <v>7</v>
      </c>
      <c r="O36" s="13">
        <f t="shared" si="4"/>
        <v>0</v>
      </c>
      <c r="Z36" s="13">
        <f t="shared" si="5"/>
        <v>0</v>
      </c>
      <c r="AA36" s="13">
        <f t="shared" si="6"/>
        <v>0</v>
      </c>
      <c r="AB36" s="13">
        <f t="shared" si="7"/>
        <v>0</v>
      </c>
      <c r="AD36" s="13">
        <v>0</v>
      </c>
      <c r="AE36" s="13">
        <f>G36*0.265260026443367</f>
        <v>0</v>
      </c>
      <c r="AF36" s="13">
        <f>G36*(1-0.265260026443367)</f>
        <v>0</v>
      </c>
    </row>
    <row r="37" spans="1:32" ht="12.75">
      <c r="A37" s="5" t="s">
        <v>30</v>
      </c>
      <c r="B37" s="5"/>
      <c r="C37" s="5" t="s">
        <v>82</v>
      </c>
      <c r="D37" s="5" t="s">
        <v>140</v>
      </c>
      <c r="E37" s="5" t="s">
        <v>171</v>
      </c>
      <c r="F37" s="13">
        <v>30</v>
      </c>
      <c r="G37" s="13"/>
      <c r="H37" s="13">
        <f t="shared" si="0"/>
        <v>0</v>
      </c>
      <c r="I37" s="13">
        <f t="shared" si="1"/>
        <v>0</v>
      </c>
      <c r="J37" s="13">
        <f t="shared" si="2"/>
        <v>0</v>
      </c>
      <c r="K37" s="13">
        <v>0.00394</v>
      </c>
      <c r="L37" s="13">
        <f t="shared" si="3"/>
        <v>0.1182</v>
      </c>
      <c r="N37" s="24" t="s">
        <v>7</v>
      </c>
      <c r="O37" s="13">
        <f t="shared" si="4"/>
        <v>0</v>
      </c>
      <c r="Z37" s="13">
        <f t="shared" si="5"/>
        <v>0</v>
      </c>
      <c r="AA37" s="13">
        <f t="shared" si="6"/>
        <v>0</v>
      </c>
      <c r="AB37" s="13">
        <f t="shared" si="7"/>
        <v>0</v>
      </c>
      <c r="AD37" s="13">
        <v>0</v>
      </c>
      <c r="AE37" s="13">
        <f>G37*0.0905032467532468</f>
        <v>0</v>
      </c>
      <c r="AF37" s="13">
        <f>G37*(1-0.0905032467532468)</f>
        <v>0</v>
      </c>
    </row>
    <row r="38" spans="1:32" ht="12.75">
      <c r="A38" s="5" t="s">
        <v>31</v>
      </c>
      <c r="B38" s="5"/>
      <c r="C38" s="5" t="s">
        <v>83</v>
      </c>
      <c r="D38" s="5" t="s">
        <v>213</v>
      </c>
      <c r="E38" s="5" t="s">
        <v>171</v>
      </c>
      <c r="F38" s="13">
        <v>20</v>
      </c>
      <c r="G38" s="13"/>
      <c r="H38" s="13">
        <f t="shared" si="0"/>
        <v>0</v>
      </c>
      <c r="I38" s="13">
        <f t="shared" si="1"/>
        <v>0</v>
      </c>
      <c r="J38" s="13">
        <f t="shared" si="2"/>
        <v>0</v>
      </c>
      <c r="K38" s="13">
        <v>0.00722</v>
      </c>
      <c r="L38" s="13">
        <f t="shared" si="3"/>
        <v>0.1444</v>
      </c>
      <c r="N38" s="24" t="s">
        <v>7</v>
      </c>
      <c r="O38" s="13">
        <f t="shared" si="4"/>
        <v>0</v>
      </c>
      <c r="Z38" s="13">
        <f t="shared" si="5"/>
        <v>0</v>
      </c>
      <c r="AA38" s="13">
        <f t="shared" si="6"/>
        <v>0</v>
      </c>
      <c r="AB38" s="13">
        <f t="shared" si="7"/>
        <v>0</v>
      </c>
      <c r="AD38" s="13">
        <v>0</v>
      </c>
      <c r="AE38" s="13">
        <f>G38*0.72160758636261</f>
        <v>0</v>
      </c>
      <c r="AF38" s="13">
        <f>G38*(1-0.72160758636261)</f>
        <v>0</v>
      </c>
    </row>
    <row r="39" spans="1:32" ht="12.75">
      <c r="A39" s="5" t="s">
        <v>32</v>
      </c>
      <c r="B39" s="5"/>
      <c r="C39" s="5" t="s">
        <v>84</v>
      </c>
      <c r="D39" s="5" t="s">
        <v>141</v>
      </c>
      <c r="E39" s="5" t="s">
        <v>171</v>
      </c>
      <c r="F39" s="13">
        <v>0</v>
      </c>
      <c r="G39" s="13"/>
      <c r="H39" s="13">
        <f t="shared" si="0"/>
        <v>0</v>
      </c>
      <c r="I39" s="13">
        <f t="shared" si="1"/>
        <v>0</v>
      </c>
      <c r="J39" s="13">
        <f t="shared" si="2"/>
        <v>0</v>
      </c>
      <c r="K39" s="13">
        <v>0.00066</v>
      </c>
      <c r="L39" s="13">
        <f t="shared" si="3"/>
        <v>0</v>
      </c>
      <c r="N39" s="24" t="s">
        <v>7</v>
      </c>
      <c r="O39" s="13">
        <f t="shared" si="4"/>
        <v>0</v>
      </c>
      <c r="Z39" s="13">
        <f t="shared" si="5"/>
        <v>0</v>
      </c>
      <c r="AA39" s="13">
        <f t="shared" si="6"/>
        <v>0</v>
      </c>
      <c r="AB39" s="13">
        <f t="shared" si="7"/>
        <v>0</v>
      </c>
      <c r="AD39" s="13">
        <v>0</v>
      </c>
      <c r="AE39" s="13">
        <f>G39*0.299053300479834</f>
        <v>0</v>
      </c>
      <c r="AF39" s="13">
        <f>G39*(1-0.299053300479834)</f>
        <v>0</v>
      </c>
    </row>
    <row r="40" spans="1:37" ht="12.75">
      <c r="A40" s="4"/>
      <c r="B40" s="4"/>
      <c r="C40" s="11" t="s">
        <v>85</v>
      </c>
      <c r="D40" s="66" t="s">
        <v>142</v>
      </c>
      <c r="E40" s="67"/>
      <c r="F40" s="67"/>
      <c r="G40" s="67"/>
      <c r="H40" s="26">
        <f>SUM(H41:H42)</f>
        <v>0</v>
      </c>
      <c r="I40" s="26">
        <f>SUM(I41:I42)</f>
        <v>0</v>
      </c>
      <c r="J40" s="26">
        <f>SUM(J41:J42)</f>
        <v>0</v>
      </c>
      <c r="K40" s="21"/>
      <c r="L40" s="26">
        <f>SUM(L41:L42)</f>
        <v>0.17478999999999997</v>
      </c>
      <c r="P40" s="26">
        <f>IF(Q40="PR",J40,SUM(O41:O42))</f>
        <v>0</v>
      </c>
      <c r="Q40" s="21" t="s">
        <v>191</v>
      </c>
      <c r="R40" s="26">
        <f>IF(Q40="HS",H40,0)</f>
        <v>0</v>
      </c>
      <c r="S40" s="26">
        <f>IF(Q40="HS",I40-P40,0)</f>
        <v>0</v>
      </c>
      <c r="T40" s="26">
        <f>IF(Q40="PS",H40,0)</f>
        <v>0</v>
      </c>
      <c r="U40" s="26">
        <f>IF(Q40="PS",I40-P40,0)</f>
        <v>0</v>
      </c>
      <c r="V40" s="26">
        <f>IF(Q40="MP",H40,0)</f>
        <v>0</v>
      </c>
      <c r="W40" s="26">
        <f>IF(Q40="MP",I40-P40,0)</f>
        <v>0</v>
      </c>
      <c r="X40" s="26">
        <f>IF(Q40="OM",H40,0)</f>
        <v>0</v>
      </c>
      <c r="Y40" s="21"/>
      <c r="AI40" s="26">
        <f>SUM(Z41:Z42)</f>
        <v>0</v>
      </c>
      <c r="AJ40" s="26">
        <f>SUM(AA41:AA42)</f>
        <v>0</v>
      </c>
      <c r="AK40" s="26">
        <f>SUM(AB41:AB42)</f>
        <v>0</v>
      </c>
    </row>
    <row r="41" spans="1:32" ht="12.75">
      <c r="A41" s="5" t="s">
        <v>33</v>
      </c>
      <c r="B41" s="5"/>
      <c r="C41" s="5" t="s">
        <v>86</v>
      </c>
      <c r="D41" s="5" t="s">
        <v>219</v>
      </c>
      <c r="E41" s="5" t="s">
        <v>173</v>
      </c>
      <c r="F41" s="13">
        <v>76</v>
      </c>
      <c r="G41" s="13"/>
      <c r="H41" s="13">
        <f>ROUND(F41*AE41,2)</f>
        <v>0</v>
      </c>
      <c r="I41" s="13">
        <f>J41-H41</f>
        <v>0</v>
      </c>
      <c r="J41" s="13">
        <f>ROUND(F41*G41,2)</f>
        <v>0</v>
      </c>
      <c r="K41" s="13">
        <v>0.00227</v>
      </c>
      <c r="L41" s="13">
        <f>F41*K41</f>
        <v>0.17251999999999998</v>
      </c>
      <c r="N41" s="24" t="s">
        <v>7</v>
      </c>
      <c r="O41" s="13">
        <f>IF(N41="5",I41,0)</f>
        <v>0</v>
      </c>
      <c r="Z41" s="13">
        <f>IF(AD41=0,J41,0)</f>
        <v>0</v>
      </c>
      <c r="AA41" s="13">
        <f>IF(AD41=10,J41,0)</f>
        <v>0</v>
      </c>
      <c r="AB41" s="13">
        <f>IF(AD41=20,J41,0)</f>
        <v>0</v>
      </c>
      <c r="AD41" s="13">
        <v>0</v>
      </c>
      <c r="AE41" s="13">
        <f>G41*0.48197301481973</f>
        <v>0</v>
      </c>
      <c r="AF41" s="13">
        <f>G41*(1-0.48197301481973)</f>
        <v>0</v>
      </c>
    </row>
    <row r="42" spans="1:32" ht="12.75">
      <c r="A42" s="5" t="s">
        <v>34</v>
      </c>
      <c r="B42" s="5"/>
      <c r="C42" s="5" t="s">
        <v>87</v>
      </c>
      <c r="D42" s="5" t="s">
        <v>224</v>
      </c>
      <c r="E42" s="5" t="s">
        <v>218</v>
      </c>
      <c r="F42" s="13">
        <v>1</v>
      </c>
      <c r="G42" s="13"/>
      <c r="H42" s="13">
        <f>ROUND(F42*AE42,2)</f>
        <v>0</v>
      </c>
      <c r="I42" s="13">
        <f>J42-H42</f>
        <v>0</v>
      </c>
      <c r="J42" s="13">
        <f>ROUND(F42*G42,2)</f>
        <v>0</v>
      </c>
      <c r="K42" s="13">
        <v>0.00227</v>
      </c>
      <c r="L42" s="13">
        <f>F42*K42</f>
        <v>0.00227</v>
      </c>
      <c r="N42" s="24" t="s">
        <v>7</v>
      </c>
      <c r="O42" s="13">
        <f>IF(N42="5",I42,0)</f>
        <v>0</v>
      </c>
      <c r="Z42" s="13">
        <f>IF(AD42=0,J42,0)</f>
        <v>0</v>
      </c>
      <c r="AA42" s="13">
        <f>IF(AD42=10,J42,0)</f>
        <v>0</v>
      </c>
      <c r="AB42" s="13">
        <f>IF(AD42=20,J42,0)</f>
        <v>0</v>
      </c>
      <c r="AD42" s="13">
        <v>0</v>
      </c>
      <c r="AE42" s="13">
        <f>G42*0.462301429442809</f>
        <v>0</v>
      </c>
      <c r="AF42" s="13">
        <f>G42*(1-0.462301429442809)</f>
        <v>0</v>
      </c>
    </row>
    <row r="43" spans="1:37" ht="12.75">
      <c r="A43" s="4"/>
      <c r="B43" s="4"/>
      <c r="C43" s="11" t="s">
        <v>88</v>
      </c>
      <c r="D43" s="66" t="s">
        <v>143</v>
      </c>
      <c r="E43" s="67"/>
      <c r="F43" s="67"/>
      <c r="G43" s="67"/>
      <c r="H43" s="26">
        <f>SUM(H44:H44)</f>
        <v>0</v>
      </c>
      <c r="I43" s="26">
        <f>SUM(I44:I44)</f>
        <v>0</v>
      </c>
      <c r="J43" s="26">
        <f>J44</f>
        <v>0</v>
      </c>
      <c r="K43" s="21"/>
      <c r="L43" s="26">
        <f>SUM(L44:L44)</f>
        <v>2E-05</v>
      </c>
      <c r="P43" s="26">
        <f>IF(Q43="PR",J43,SUM(O44:O44))</f>
        <v>0</v>
      </c>
      <c r="Q43" s="21" t="s">
        <v>191</v>
      </c>
      <c r="R43" s="26">
        <f>IF(Q43="HS",H43,0)</f>
        <v>0</v>
      </c>
      <c r="S43" s="26">
        <f>IF(Q43="HS",I43-P43,0)</f>
        <v>0</v>
      </c>
      <c r="T43" s="26">
        <f>IF(Q43="PS",H43,0)</f>
        <v>0</v>
      </c>
      <c r="U43" s="26">
        <f>IF(Q43="PS",I43-P43,0)</f>
        <v>0</v>
      </c>
      <c r="V43" s="26">
        <f>IF(Q43="MP",H43,0)</f>
        <v>0</v>
      </c>
      <c r="W43" s="26">
        <f>IF(Q43="MP",I43-P43,0)</f>
        <v>0</v>
      </c>
      <c r="X43" s="26">
        <f>IF(Q43="OM",H43,0)</f>
        <v>0</v>
      </c>
      <c r="Y43" s="21"/>
      <c r="AI43" s="26">
        <f>SUM(Z44:Z44)</f>
        <v>0</v>
      </c>
      <c r="AJ43" s="26">
        <f>SUM(AA44:AA44)</f>
        <v>0</v>
      </c>
      <c r="AK43" s="26">
        <f>SUM(AB44:AB44)</f>
        <v>0</v>
      </c>
    </row>
    <row r="44" spans="1:32" ht="12.75">
      <c r="A44" s="5" t="s">
        <v>35</v>
      </c>
      <c r="B44" s="5"/>
      <c r="C44" s="5" t="s">
        <v>89</v>
      </c>
      <c r="D44" s="5" t="s">
        <v>223</v>
      </c>
      <c r="E44" s="5" t="s">
        <v>218</v>
      </c>
      <c r="F44" s="13">
        <v>1</v>
      </c>
      <c r="G44" s="13"/>
      <c r="H44" s="13">
        <f>ROUND(F44*AE44,2)</f>
        <v>0</v>
      </c>
      <c r="I44" s="13">
        <f>J44-H44</f>
        <v>0</v>
      </c>
      <c r="J44" s="13">
        <f>ROUND(F44*G44,2)</f>
        <v>0</v>
      </c>
      <c r="K44" s="13">
        <v>2E-05</v>
      </c>
      <c r="L44" s="13">
        <f>F44*K44</f>
        <v>2E-05</v>
      </c>
      <c r="N44" s="24" t="s">
        <v>7</v>
      </c>
      <c r="O44" s="13">
        <f>IF(N44="5",I44,0)</f>
        <v>0</v>
      </c>
      <c r="Z44" s="13">
        <f>IF(AD44=0,J44,0)</f>
        <v>0</v>
      </c>
      <c r="AA44" s="13">
        <f>IF(AD44=10,J44,0)</f>
        <v>0</v>
      </c>
      <c r="AB44" s="13">
        <f>IF(AD44=20,J44,0)</f>
        <v>0</v>
      </c>
      <c r="AD44" s="13">
        <v>0</v>
      </c>
      <c r="AE44" s="13">
        <f>G44*0.00355571626589526</f>
        <v>0</v>
      </c>
      <c r="AF44" s="13">
        <f>G44*(1-0.00355571626589526)</f>
        <v>0</v>
      </c>
    </row>
    <row r="45" spans="1:37" ht="12.75">
      <c r="A45" s="4"/>
      <c r="B45" s="4"/>
      <c r="C45" s="11" t="s">
        <v>90</v>
      </c>
      <c r="D45" s="66" t="s">
        <v>144</v>
      </c>
      <c r="E45" s="67"/>
      <c r="F45" s="67"/>
      <c r="G45" s="67"/>
      <c r="H45" s="26">
        <f>SUM(H46:H47)</f>
        <v>0</v>
      </c>
      <c r="I45" s="26">
        <f>SUM(I46:I47)</f>
        <v>0</v>
      </c>
      <c r="J45" s="26">
        <f>SUM(J46:J47)</f>
        <v>0</v>
      </c>
      <c r="K45" s="21"/>
      <c r="L45" s="26">
        <f>SUM(L46:L47)</f>
        <v>0.007350000000000001</v>
      </c>
      <c r="P45" s="26">
        <f>IF(Q45="PR",J45,SUM(O46:O47))</f>
        <v>0</v>
      </c>
      <c r="Q45" s="21" t="s">
        <v>191</v>
      </c>
      <c r="R45" s="26">
        <f>IF(Q45="HS",H45,0)</f>
        <v>0</v>
      </c>
      <c r="S45" s="26">
        <f>IF(Q45="HS",I45-P45,0)</f>
        <v>0</v>
      </c>
      <c r="T45" s="26">
        <f>IF(Q45="PS",H45,0)</f>
        <v>0</v>
      </c>
      <c r="U45" s="26">
        <f>IF(Q45="PS",I45-P45,0)</f>
        <v>0</v>
      </c>
      <c r="V45" s="26">
        <f>IF(Q45="MP",H45,0)</f>
        <v>0</v>
      </c>
      <c r="W45" s="26">
        <f>IF(Q45="MP",I45-P45,0)</f>
        <v>0</v>
      </c>
      <c r="X45" s="26">
        <f>IF(Q45="OM",H45,0)</f>
        <v>0</v>
      </c>
      <c r="Y45" s="21"/>
      <c r="AI45" s="26">
        <f>SUM(Z46:Z47)</f>
        <v>0</v>
      </c>
      <c r="AJ45" s="26">
        <f>SUM(AA46:AA47)</f>
        <v>0</v>
      </c>
      <c r="AK45" s="26">
        <f>SUM(AB46:AB47)</f>
        <v>0</v>
      </c>
    </row>
    <row r="46" spans="1:32" ht="12.75">
      <c r="A46" s="5" t="s">
        <v>36</v>
      </c>
      <c r="B46" s="5"/>
      <c r="C46" s="5" t="s">
        <v>91</v>
      </c>
      <c r="D46" s="5" t="s">
        <v>145</v>
      </c>
      <c r="E46" s="5" t="s">
        <v>171</v>
      </c>
      <c r="F46" s="13">
        <v>35</v>
      </c>
      <c r="G46" s="13"/>
      <c r="H46" s="13">
        <f>ROUND(F46*AE46,2)</f>
        <v>0</v>
      </c>
      <c r="I46" s="13">
        <f>J46-H46</f>
        <v>0</v>
      </c>
      <c r="J46" s="13">
        <f>ROUND(F46*G46,2)</f>
        <v>0</v>
      </c>
      <c r="K46" s="13">
        <v>1E-05</v>
      </c>
      <c r="L46" s="13">
        <f>F46*K46</f>
        <v>0.00035000000000000005</v>
      </c>
      <c r="N46" s="24" t="s">
        <v>7</v>
      </c>
      <c r="O46" s="13">
        <f>IF(N46="5",I46,0)</f>
        <v>0</v>
      </c>
      <c r="Z46" s="13">
        <f>IF(AD46=0,J46,0)</f>
        <v>0</v>
      </c>
      <c r="AA46" s="13">
        <f>IF(AD46=10,J46,0)</f>
        <v>0</v>
      </c>
      <c r="AB46" s="13">
        <f>IF(AD46=20,J46,0)</f>
        <v>0</v>
      </c>
      <c r="AD46" s="13">
        <v>0</v>
      </c>
      <c r="AE46" s="13">
        <f>G46*0.0419307654802535</f>
        <v>0</v>
      </c>
      <c r="AF46" s="13">
        <f>G46*(1-0.0419307654802535)</f>
        <v>0</v>
      </c>
    </row>
    <row r="47" spans="1:32" ht="12.75">
      <c r="A47" s="5" t="s">
        <v>37</v>
      </c>
      <c r="B47" s="5"/>
      <c r="C47" s="5" t="s">
        <v>92</v>
      </c>
      <c r="D47" s="5" t="s">
        <v>146</v>
      </c>
      <c r="E47" s="5" t="s">
        <v>171</v>
      </c>
      <c r="F47" s="13">
        <v>35</v>
      </c>
      <c r="G47" s="13"/>
      <c r="H47" s="13">
        <f>ROUND(F47*AE47,2)</f>
        <v>0</v>
      </c>
      <c r="I47" s="13">
        <f>J47-H47</f>
        <v>0</v>
      </c>
      <c r="J47" s="13">
        <f>ROUND(F47*G47,2)</f>
        <v>0</v>
      </c>
      <c r="K47" s="13">
        <v>0.0002</v>
      </c>
      <c r="L47" s="13">
        <f>F47*K47</f>
        <v>0.007</v>
      </c>
      <c r="N47" s="24" t="s">
        <v>7</v>
      </c>
      <c r="O47" s="13">
        <f>IF(N47="5",I47,0)</f>
        <v>0</v>
      </c>
      <c r="Z47" s="13">
        <f>IF(AD47=0,J47,0)</f>
        <v>0</v>
      </c>
      <c r="AA47" s="13">
        <f>IF(AD47=10,J47,0)</f>
        <v>0</v>
      </c>
      <c r="AB47" s="13">
        <f>IF(AD47=20,J47,0)</f>
        <v>0</v>
      </c>
      <c r="AD47" s="13">
        <v>0</v>
      </c>
      <c r="AE47" s="13">
        <f>G47*0.63800559654032</f>
        <v>0</v>
      </c>
      <c r="AF47" s="13">
        <f>G47*(1-0.63800559654032)</f>
        <v>0</v>
      </c>
    </row>
    <row r="48" spans="1:37" ht="12.75">
      <c r="A48" s="4"/>
      <c r="B48" s="4"/>
      <c r="C48" s="11" t="s">
        <v>93</v>
      </c>
      <c r="D48" s="66" t="s">
        <v>147</v>
      </c>
      <c r="E48" s="67"/>
      <c r="F48" s="67"/>
      <c r="G48" s="67"/>
      <c r="H48" s="26">
        <f>SUM(H49:H55)</f>
        <v>0</v>
      </c>
      <c r="I48" s="26">
        <f>SUM(I49:I55)</f>
        <v>0</v>
      </c>
      <c r="J48" s="26">
        <f>SUM(J49:J55)</f>
        <v>0</v>
      </c>
      <c r="K48" s="21"/>
      <c r="L48" s="26">
        <f>SUM(L49:L55)</f>
        <v>13.38165</v>
      </c>
      <c r="P48" s="26">
        <f>IF(Q48="PR",J48,SUM(O49:O55))</f>
        <v>0</v>
      </c>
      <c r="Q48" s="21" t="s">
        <v>190</v>
      </c>
      <c r="R48" s="26">
        <f>IF(Q48="HS",H48,0)</f>
        <v>0</v>
      </c>
      <c r="S48" s="26">
        <f>IF(Q48="HS",I48-P48,0)</f>
        <v>0</v>
      </c>
      <c r="T48" s="26">
        <f>IF(Q48="PS",H48,0)</f>
        <v>0</v>
      </c>
      <c r="U48" s="26">
        <f>IF(Q48="PS",I48-P48,0)</f>
        <v>0</v>
      </c>
      <c r="V48" s="26">
        <f>IF(Q48="MP",H48,0)</f>
        <v>0</v>
      </c>
      <c r="W48" s="26">
        <f>IF(Q48="MP",I48-P48,0)</f>
        <v>0</v>
      </c>
      <c r="X48" s="26">
        <f>IF(Q48="OM",H48,0)</f>
        <v>0</v>
      </c>
      <c r="Y48" s="21"/>
      <c r="AI48" s="26">
        <f>SUM(Z49:Z55)</f>
        <v>0</v>
      </c>
      <c r="AJ48" s="26">
        <f>SUM(AA49:AA55)</f>
        <v>0</v>
      </c>
      <c r="AK48" s="26">
        <f>SUM(AB49:AB55)</f>
        <v>0</v>
      </c>
    </row>
    <row r="49" spans="1:32" ht="12.75">
      <c r="A49" s="5" t="s">
        <v>38</v>
      </c>
      <c r="B49" s="5"/>
      <c r="C49" s="5" t="s">
        <v>94</v>
      </c>
      <c r="D49" s="5" t="s">
        <v>148</v>
      </c>
      <c r="E49" s="5" t="s">
        <v>171</v>
      </c>
      <c r="F49" s="13">
        <v>390</v>
      </c>
      <c r="G49" s="13"/>
      <c r="H49" s="13">
        <f aca="true" t="shared" si="8" ref="H49:H55">ROUND(F49*AE49,2)</f>
        <v>0</v>
      </c>
      <c r="I49" s="13">
        <f aca="true" t="shared" si="9" ref="I49:I55">J49-H49</f>
        <v>0</v>
      </c>
      <c r="J49" s="13">
        <f aca="true" t="shared" si="10" ref="J49:J55">ROUND(F49*G49,2)</f>
        <v>0</v>
      </c>
      <c r="K49" s="13">
        <v>0.03338</v>
      </c>
      <c r="L49" s="13">
        <f aca="true" t="shared" si="11" ref="L49:L55">F49*K49</f>
        <v>13.0182</v>
      </c>
      <c r="N49" s="24" t="s">
        <v>7</v>
      </c>
      <c r="O49" s="13">
        <f aca="true" t="shared" si="12" ref="O49:O55">IF(N49="5",I49,0)</f>
        <v>0</v>
      </c>
      <c r="Z49" s="13">
        <f aca="true" t="shared" si="13" ref="Z49:Z55">IF(AD49=0,J49,0)</f>
        <v>0</v>
      </c>
      <c r="AA49" s="13">
        <f aca="true" t="shared" si="14" ref="AA49:AA55">IF(AD49=10,J49,0)</f>
        <v>0</v>
      </c>
      <c r="AB49" s="13">
        <f aca="true" t="shared" si="15" ref="AB49:AB55">IF(AD49=20,J49,0)</f>
        <v>0</v>
      </c>
      <c r="AD49" s="13">
        <v>0</v>
      </c>
      <c r="AE49" s="13">
        <f>G49*0.000365764447695684</f>
        <v>0</v>
      </c>
      <c r="AF49" s="13">
        <f>G49*(1-0.000365764447695684)</f>
        <v>0</v>
      </c>
    </row>
    <row r="50" spans="1:32" ht="12.75">
      <c r="A50" s="5" t="s">
        <v>39</v>
      </c>
      <c r="B50" s="5"/>
      <c r="C50" s="5" t="s">
        <v>95</v>
      </c>
      <c r="D50" s="5" t="s">
        <v>149</v>
      </c>
      <c r="E50" s="5" t="s">
        <v>171</v>
      </c>
      <c r="F50" s="13">
        <v>390</v>
      </c>
      <c r="G50" s="13"/>
      <c r="H50" s="13">
        <f t="shared" si="8"/>
        <v>0</v>
      </c>
      <c r="I50" s="13">
        <f t="shared" si="9"/>
        <v>0</v>
      </c>
      <c r="J50" s="13">
        <f t="shared" si="10"/>
        <v>0</v>
      </c>
      <c r="K50" s="13">
        <v>0.00093</v>
      </c>
      <c r="L50" s="13">
        <f t="shared" si="11"/>
        <v>0.3627</v>
      </c>
      <c r="N50" s="24" t="s">
        <v>7</v>
      </c>
      <c r="O50" s="13">
        <f t="shared" si="12"/>
        <v>0</v>
      </c>
      <c r="Z50" s="13">
        <f t="shared" si="13"/>
        <v>0</v>
      </c>
      <c r="AA50" s="13">
        <f t="shared" si="14"/>
        <v>0</v>
      </c>
      <c r="AB50" s="13">
        <f t="shared" si="15"/>
        <v>0</v>
      </c>
      <c r="AD50" s="13">
        <v>0</v>
      </c>
      <c r="AE50" s="13">
        <f>G50*0.958990536277602</f>
        <v>0</v>
      </c>
      <c r="AF50" s="13">
        <f>G50*(1-0.958990536277602)</f>
        <v>0</v>
      </c>
    </row>
    <row r="51" spans="1:32" ht="12.75">
      <c r="A51" s="5" t="s">
        <v>40</v>
      </c>
      <c r="B51" s="5"/>
      <c r="C51" s="5" t="s">
        <v>96</v>
      </c>
      <c r="D51" s="5" t="s">
        <v>150</v>
      </c>
      <c r="E51" s="5" t="s">
        <v>171</v>
      </c>
      <c r="F51" s="13">
        <v>390</v>
      </c>
      <c r="G51" s="13"/>
      <c r="H51" s="13">
        <f t="shared" si="8"/>
        <v>0</v>
      </c>
      <c r="I51" s="13">
        <f t="shared" si="9"/>
        <v>0</v>
      </c>
      <c r="J51" s="13">
        <f t="shared" si="10"/>
        <v>0</v>
      </c>
      <c r="K51" s="13">
        <v>0</v>
      </c>
      <c r="L51" s="13">
        <f t="shared" si="11"/>
        <v>0</v>
      </c>
      <c r="N51" s="24" t="s">
        <v>7</v>
      </c>
      <c r="O51" s="13">
        <f t="shared" si="12"/>
        <v>0</v>
      </c>
      <c r="Z51" s="13">
        <f t="shared" si="13"/>
        <v>0</v>
      </c>
      <c r="AA51" s="13">
        <f t="shared" si="14"/>
        <v>0</v>
      </c>
      <c r="AB51" s="13">
        <f t="shared" si="15"/>
        <v>0</v>
      </c>
      <c r="AD51" s="13">
        <v>0</v>
      </c>
      <c r="AE51" s="13">
        <f>G51*0</f>
        <v>0</v>
      </c>
      <c r="AF51" s="13">
        <f>G51*(1-0)</f>
        <v>0</v>
      </c>
    </row>
    <row r="52" spans="1:32" ht="12.75">
      <c r="A52" s="5" t="s">
        <v>41</v>
      </c>
      <c r="B52" s="5"/>
      <c r="C52" s="5" t="s">
        <v>97</v>
      </c>
      <c r="D52" s="5" t="s">
        <v>151</v>
      </c>
      <c r="E52" s="5" t="s">
        <v>171</v>
      </c>
      <c r="F52" s="13">
        <v>390</v>
      </c>
      <c r="G52" s="13"/>
      <c r="H52" s="13">
        <f t="shared" si="8"/>
        <v>0</v>
      </c>
      <c r="I52" s="13">
        <f t="shared" si="9"/>
        <v>0</v>
      </c>
      <c r="J52" s="13">
        <f t="shared" si="10"/>
        <v>0</v>
      </c>
      <c r="K52" s="13">
        <v>0</v>
      </c>
      <c r="L52" s="13">
        <f t="shared" si="11"/>
        <v>0</v>
      </c>
      <c r="N52" s="24" t="s">
        <v>7</v>
      </c>
      <c r="O52" s="13">
        <f t="shared" si="12"/>
        <v>0</v>
      </c>
      <c r="Z52" s="13">
        <f t="shared" si="13"/>
        <v>0</v>
      </c>
      <c r="AA52" s="13">
        <f t="shared" si="14"/>
        <v>0</v>
      </c>
      <c r="AB52" s="13">
        <f t="shared" si="15"/>
        <v>0</v>
      </c>
      <c r="AD52" s="13">
        <v>0</v>
      </c>
      <c r="AE52" s="13">
        <f>G52*0</f>
        <v>0</v>
      </c>
      <c r="AF52" s="13">
        <f>G52*(1-0)</f>
        <v>0</v>
      </c>
    </row>
    <row r="53" spans="1:32" ht="12.75">
      <c r="A53" s="5" t="s">
        <v>42</v>
      </c>
      <c r="B53" s="5"/>
      <c r="C53" s="5" t="s">
        <v>98</v>
      </c>
      <c r="D53" s="5" t="s">
        <v>152</v>
      </c>
      <c r="E53" s="5" t="s">
        <v>171</v>
      </c>
      <c r="F53" s="13">
        <v>390</v>
      </c>
      <c r="G53" s="13"/>
      <c r="H53" s="13">
        <f t="shared" si="8"/>
        <v>0</v>
      </c>
      <c r="I53" s="13">
        <f t="shared" si="9"/>
        <v>0</v>
      </c>
      <c r="J53" s="13">
        <f t="shared" si="10"/>
        <v>0</v>
      </c>
      <c r="K53" s="13">
        <v>0</v>
      </c>
      <c r="L53" s="13">
        <f t="shared" si="11"/>
        <v>0</v>
      </c>
      <c r="N53" s="24" t="s">
        <v>7</v>
      </c>
      <c r="O53" s="13">
        <f t="shared" si="12"/>
        <v>0</v>
      </c>
      <c r="Z53" s="13">
        <f t="shared" si="13"/>
        <v>0</v>
      </c>
      <c r="AA53" s="13">
        <f t="shared" si="14"/>
        <v>0</v>
      </c>
      <c r="AB53" s="13">
        <f t="shared" si="15"/>
        <v>0</v>
      </c>
      <c r="AD53" s="13">
        <v>0</v>
      </c>
      <c r="AE53" s="13">
        <f>G53*0</f>
        <v>0</v>
      </c>
      <c r="AF53" s="13">
        <f>G53*(1-0)</f>
        <v>0</v>
      </c>
    </row>
    <row r="54" spans="1:32" ht="12.75">
      <c r="A54" s="5" t="s">
        <v>43</v>
      </c>
      <c r="B54" s="5"/>
      <c r="C54" s="5" t="s">
        <v>99</v>
      </c>
      <c r="D54" s="5" t="s">
        <v>153</v>
      </c>
      <c r="E54" s="5" t="s">
        <v>171</v>
      </c>
      <c r="F54" s="13">
        <v>390</v>
      </c>
      <c r="G54" s="13"/>
      <c r="H54" s="13">
        <f t="shared" si="8"/>
        <v>0</v>
      </c>
      <c r="I54" s="13">
        <f t="shared" si="9"/>
        <v>0</v>
      </c>
      <c r="J54" s="13">
        <f t="shared" si="10"/>
        <v>0</v>
      </c>
      <c r="K54" s="13">
        <v>0</v>
      </c>
      <c r="L54" s="13">
        <f t="shared" si="11"/>
        <v>0</v>
      </c>
      <c r="N54" s="24" t="s">
        <v>7</v>
      </c>
      <c r="O54" s="13">
        <f t="shared" si="12"/>
        <v>0</v>
      </c>
      <c r="Z54" s="13">
        <f t="shared" si="13"/>
        <v>0</v>
      </c>
      <c r="AA54" s="13">
        <f t="shared" si="14"/>
        <v>0</v>
      </c>
      <c r="AB54" s="13">
        <f t="shared" si="15"/>
        <v>0</v>
      </c>
      <c r="AD54" s="13">
        <v>0</v>
      </c>
      <c r="AE54" s="13">
        <f>G54*0</f>
        <v>0</v>
      </c>
      <c r="AF54" s="13">
        <f>G54*(1-0)</f>
        <v>0</v>
      </c>
    </row>
    <row r="55" spans="1:32" ht="12.75">
      <c r="A55" s="5" t="s">
        <v>44</v>
      </c>
      <c r="B55" s="5"/>
      <c r="C55" s="5" t="s">
        <v>100</v>
      </c>
      <c r="D55" s="5" t="s">
        <v>215</v>
      </c>
      <c r="E55" s="5" t="s">
        <v>171</v>
      </c>
      <c r="F55" s="13">
        <v>15</v>
      </c>
      <c r="G55" s="13"/>
      <c r="H55" s="13">
        <f t="shared" si="8"/>
        <v>0</v>
      </c>
      <c r="I55" s="13">
        <f t="shared" si="9"/>
        <v>0</v>
      </c>
      <c r="J55" s="13">
        <f t="shared" si="10"/>
        <v>0</v>
      </c>
      <c r="K55" s="13">
        <v>5E-05</v>
      </c>
      <c r="L55" s="13">
        <f t="shared" si="11"/>
        <v>0.00075</v>
      </c>
      <c r="N55" s="24" t="s">
        <v>7</v>
      </c>
      <c r="O55" s="13">
        <f t="shared" si="12"/>
        <v>0</v>
      </c>
      <c r="Z55" s="13">
        <f t="shared" si="13"/>
        <v>0</v>
      </c>
      <c r="AA55" s="13">
        <f t="shared" si="14"/>
        <v>0</v>
      </c>
      <c r="AB55" s="13">
        <f t="shared" si="15"/>
        <v>0</v>
      </c>
      <c r="AD55" s="13">
        <v>0</v>
      </c>
      <c r="AE55" s="13">
        <f>G55*0.102457168620379</f>
        <v>0</v>
      </c>
      <c r="AF55" s="13">
        <f>G55*(1-0.102457168620379)</f>
        <v>0</v>
      </c>
    </row>
    <row r="56" spans="1:37" ht="12.75">
      <c r="A56" s="4"/>
      <c r="B56" s="4"/>
      <c r="C56" s="11" t="s">
        <v>101</v>
      </c>
      <c r="D56" s="66" t="s">
        <v>154</v>
      </c>
      <c r="E56" s="67"/>
      <c r="F56" s="67"/>
      <c r="G56" s="67"/>
      <c r="H56" s="26">
        <f>SUM(H57:H59)</f>
        <v>0</v>
      </c>
      <c r="I56" s="26">
        <f>SUM(I57:I59)</f>
        <v>0</v>
      </c>
      <c r="J56" s="26">
        <f>SUM(J57:J59)</f>
        <v>0</v>
      </c>
      <c r="K56" s="21"/>
      <c r="L56" s="26">
        <f>SUM(L57:L59)</f>
        <v>6.59</v>
      </c>
      <c r="P56" s="26">
        <f>IF(Q56="PR",J56,SUM(O57:O59))</f>
        <v>0</v>
      </c>
      <c r="Q56" s="21" t="s">
        <v>190</v>
      </c>
      <c r="R56" s="26">
        <f>IF(Q56="HS",H56,0)</f>
        <v>0</v>
      </c>
      <c r="S56" s="26">
        <f>IF(Q56="HS",I56-P56,0)</f>
        <v>0</v>
      </c>
      <c r="T56" s="26">
        <f>IF(Q56="PS",H56,0)</f>
        <v>0</v>
      </c>
      <c r="U56" s="26">
        <f>IF(Q56="PS",I56-P56,0)</f>
        <v>0</v>
      </c>
      <c r="V56" s="26">
        <f>IF(Q56="MP",H56,0)</f>
        <v>0</v>
      </c>
      <c r="W56" s="26">
        <f>IF(Q56="MP",I56-P56,0)</f>
        <v>0</v>
      </c>
      <c r="X56" s="26">
        <f>IF(Q56="OM",H56,0)</f>
        <v>0</v>
      </c>
      <c r="Y56" s="21"/>
      <c r="AI56" s="26">
        <f>SUM(Z57:Z59)</f>
        <v>0</v>
      </c>
      <c r="AJ56" s="26">
        <f>SUM(AA57:AA59)</f>
        <v>0</v>
      </c>
      <c r="AK56" s="26">
        <f>SUM(AB57:AB59)</f>
        <v>0</v>
      </c>
    </row>
    <row r="57" spans="1:32" ht="12.75">
      <c r="A57" s="5" t="s">
        <v>45</v>
      </c>
      <c r="B57" s="5"/>
      <c r="C57" s="5" t="s">
        <v>102</v>
      </c>
      <c r="D57" s="5" t="s">
        <v>155</v>
      </c>
      <c r="E57" s="5" t="s">
        <v>171</v>
      </c>
      <c r="F57" s="13">
        <v>25</v>
      </c>
      <c r="G57" s="13"/>
      <c r="H57" s="13">
        <f>ROUND(F57*AE57,2)</f>
        <v>0</v>
      </c>
      <c r="I57" s="13">
        <f>J57-H57</f>
        <v>0</v>
      </c>
      <c r="J57" s="13">
        <f>ROUND(F57*G57,2)</f>
        <v>0</v>
      </c>
      <c r="K57" s="13">
        <v>0.016</v>
      </c>
      <c r="L57" s="13">
        <f>F57*K57</f>
        <v>0.4</v>
      </c>
      <c r="N57" s="24" t="s">
        <v>7</v>
      </c>
      <c r="O57" s="13">
        <f>IF(N57="5",I57,0)</f>
        <v>0</v>
      </c>
      <c r="Z57" s="13">
        <f>IF(AD57=0,J57,0)</f>
        <v>0</v>
      </c>
      <c r="AA57" s="13">
        <f>IF(AD57=10,J57,0)</f>
        <v>0</v>
      </c>
      <c r="AB57" s="13">
        <f>IF(AD57=20,J57,0)</f>
        <v>0</v>
      </c>
      <c r="AD57" s="13">
        <v>0</v>
      </c>
      <c r="AE57" s="13">
        <f>G57*0</f>
        <v>0</v>
      </c>
      <c r="AF57" s="13">
        <f>G57*(1-0)</f>
        <v>0</v>
      </c>
    </row>
    <row r="58" spans="1:32" ht="12.75">
      <c r="A58" s="5" t="s">
        <v>46</v>
      </c>
      <c r="B58" s="5"/>
      <c r="C58" s="5" t="s">
        <v>103</v>
      </c>
      <c r="D58" s="5" t="s">
        <v>156</v>
      </c>
      <c r="E58" s="5" t="s">
        <v>171</v>
      </c>
      <c r="F58" s="13">
        <v>185</v>
      </c>
      <c r="G58" s="13"/>
      <c r="H58" s="13">
        <f>ROUND(F58*AE58,2)</f>
        <v>0</v>
      </c>
      <c r="I58" s="13">
        <f>J58-H58</f>
        <v>0</v>
      </c>
      <c r="J58" s="13">
        <f>ROUND(F58*G58,2)</f>
        <v>0</v>
      </c>
      <c r="K58" s="13">
        <v>0.026</v>
      </c>
      <c r="L58" s="13">
        <f>F58*K58</f>
        <v>4.81</v>
      </c>
      <c r="N58" s="24" t="s">
        <v>7</v>
      </c>
      <c r="O58" s="13">
        <f>IF(N58="5",I58,0)</f>
        <v>0</v>
      </c>
      <c r="Z58" s="13">
        <f>IF(AD58=0,J58,0)</f>
        <v>0</v>
      </c>
      <c r="AA58" s="13">
        <f>IF(AD58=10,J58,0)</f>
        <v>0</v>
      </c>
      <c r="AB58" s="13">
        <f>IF(AD58=20,J58,0)</f>
        <v>0</v>
      </c>
      <c r="AD58" s="13">
        <v>0</v>
      </c>
      <c r="AE58" s="13">
        <f>G58*0</f>
        <v>0</v>
      </c>
      <c r="AF58" s="13">
        <f>G58*(1-0)</f>
        <v>0</v>
      </c>
    </row>
    <row r="59" spans="1:32" ht="12.75">
      <c r="A59" s="5" t="s">
        <v>47</v>
      </c>
      <c r="B59" s="5"/>
      <c r="C59" s="5" t="s">
        <v>104</v>
      </c>
      <c r="D59" s="5" t="s">
        <v>157</v>
      </c>
      <c r="E59" s="5" t="s">
        <v>171</v>
      </c>
      <c r="F59" s="13">
        <v>15</v>
      </c>
      <c r="G59" s="13"/>
      <c r="H59" s="13">
        <f>ROUND(F59*AE59,2)</f>
        <v>0</v>
      </c>
      <c r="I59" s="13">
        <f>J59-H59</f>
        <v>0</v>
      </c>
      <c r="J59" s="13">
        <f>ROUND(F59*G59,2)</f>
        <v>0</v>
      </c>
      <c r="K59" s="13">
        <v>0.092</v>
      </c>
      <c r="L59" s="13">
        <f>F59*K59</f>
        <v>1.38</v>
      </c>
      <c r="N59" s="24" t="s">
        <v>7</v>
      </c>
      <c r="O59" s="13">
        <f>IF(N59="5",I59,0)</f>
        <v>0</v>
      </c>
      <c r="Z59" s="13">
        <f>IF(AD59=0,J59,0)</f>
        <v>0</v>
      </c>
      <c r="AA59" s="13">
        <f>IF(AD59=10,J59,0)</f>
        <v>0</v>
      </c>
      <c r="AB59" s="13">
        <f>IF(AD59=20,J59,0)</f>
        <v>0</v>
      </c>
      <c r="AD59" s="13">
        <v>0</v>
      </c>
      <c r="AE59" s="13">
        <f>G59*0</f>
        <v>0</v>
      </c>
      <c r="AF59" s="13">
        <f>G59*(1-0)</f>
        <v>0</v>
      </c>
    </row>
    <row r="60" spans="1:37" ht="12.75">
      <c r="A60" s="4"/>
      <c r="B60" s="4"/>
      <c r="C60" s="11" t="s">
        <v>105</v>
      </c>
      <c r="D60" s="66" t="s">
        <v>158</v>
      </c>
      <c r="E60" s="67"/>
      <c r="F60" s="67"/>
      <c r="G60" s="67"/>
      <c r="H60" s="26">
        <f>SUM(H61:H61)</f>
        <v>0</v>
      </c>
      <c r="I60" s="26">
        <f>SUM(I61:I61)</f>
        <v>0</v>
      </c>
      <c r="J60" s="26">
        <f>J61</f>
        <v>0</v>
      </c>
      <c r="K60" s="21"/>
      <c r="L60" s="26">
        <f>SUM(L61:L61)</f>
        <v>0</v>
      </c>
      <c r="P60" s="26">
        <f>IF(Q60="PR",J60,SUM(O61:O61))</f>
        <v>0</v>
      </c>
      <c r="Q60" s="21" t="s">
        <v>192</v>
      </c>
      <c r="R60" s="26">
        <f>IF(Q60="HS",H60,0)</f>
        <v>0</v>
      </c>
      <c r="S60" s="26">
        <f>IF(Q60="HS",I60-P60,0)</f>
        <v>0</v>
      </c>
      <c r="T60" s="26">
        <f>IF(Q60="PS",H60,0)</f>
        <v>0</v>
      </c>
      <c r="U60" s="26">
        <f>IF(Q60="PS",I60-P60,0)</f>
        <v>0</v>
      </c>
      <c r="V60" s="26">
        <f>IF(Q60="MP",H60,0)</f>
        <v>0</v>
      </c>
      <c r="W60" s="26">
        <f>IF(Q60="MP",I60-P60,0)</f>
        <v>0</v>
      </c>
      <c r="X60" s="26">
        <f>IF(Q60="OM",H60,0)</f>
        <v>0</v>
      </c>
      <c r="Y60" s="21"/>
      <c r="AI60" s="26">
        <f>SUM(Z61:Z61)</f>
        <v>0</v>
      </c>
      <c r="AJ60" s="26">
        <f>SUM(AA61:AA61)</f>
        <v>0</v>
      </c>
      <c r="AK60" s="26">
        <f>SUM(AB61:AB61)</f>
        <v>0</v>
      </c>
    </row>
    <row r="61" spans="1:32" ht="12.75">
      <c r="A61" s="5" t="s">
        <v>48</v>
      </c>
      <c r="B61" s="5"/>
      <c r="C61" s="5" t="s">
        <v>106</v>
      </c>
      <c r="D61" s="5" t="s">
        <v>159</v>
      </c>
      <c r="E61" s="5" t="s">
        <v>172</v>
      </c>
      <c r="F61" s="13">
        <v>15</v>
      </c>
      <c r="G61" s="13"/>
      <c r="H61" s="13">
        <f>ROUND(F61*AE61,2)</f>
        <v>0</v>
      </c>
      <c r="I61" s="13">
        <f>J61-H61</f>
        <v>0</v>
      </c>
      <c r="J61" s="13">
        <f>ROUND(F61*G61,2)</f>
        <v>0</v>
      </c>
      <c r="K61" s="13">
        <v>0</v>
      </c>
      <c r="L61" s="13">
        <f>F61*K61</f>
        <v>0</v>
      </c>
      <c r="N61" s="24" t="s">
        <v>11</v>
      </c>
      <c r="O61" s="13">
        <f>IF(N61="5",I61,0)</f>
        <v>0</v>
      </c>
      <c r="Z61" s="13">
        <f>IF(AD61=0,J61,0)</f>
        <v>0</v>
      </c>
      <c r="AA61" s="13">
        <f>IF(AD61=10,J61,0)</f>
        <v>0</v>
      </c>
      <c r="AB61" s="13">
        <f>IF(AD61=20,J61,0)</f>
        <v>0</v>
      </c>
      <c r="AD61" s="13">
        <v>0</v>
      </c>
      <c r="AE61" s="13">
        <f>G61*0</f>
        <v>0</v>
      </c>
      <c r="AF61" s="13">
        <f>G61*(1-0)</f>
        <v>0</v>
      </c>
    </row>
    <row r="62" spans="1:37" ht="12.75">
      <c r="A62" s="4"/>
      <c r="B62" s="4"/>
      <c r="C62" s="11" t="s">
        <v>107</v>
      </c>
      <c r="D62" s="66" t="s">
        <v>160</v>
      </c>
      <c r="E62" s="67"/>
      <c r="F62" s="67"/>
      <c r="G62" s="67"/>
      <c r="H62" s="26">
        <f>SUM(H63:H64)</f>
        <v>0</v>
      </c>
      <c r="I62" s="26">
        <f>SUM(I63:I64)</f>
        <v>0</v>
      </c>
      <c r="J62" s="26">
        <f>SUM(J63:J64)</f>
        <v>0</v>
      </c>
      <c r="K62" s="21"/>
      <c r="L62" s="26">
        <f>SUM(L63:L64)</f>
        <v>3E-05</v>
      </c>
      <c r="P62" s="26">
        <f>IF(Q62="PR",J62,SUM(O63:O64))</f>
        <v>0</v>
      </c>
      <c r="Q62" s="21" t="s">
        <v>193</v>
      </c>
      <c r="R62" s="26">
        <f>IF(Q62="HS",H62,0)</f>
        <v>0</v>
      </c>
      <c r="S62" s="26">
        <f>IF(Q62="HS",I62-P62,0)</f>
        <v>0</v>
      </c>
      <c r="T62" s="26">
        <f>IF(Q62="PS",H62,0)</f>
        <v>0</v>
      </c>
      <c r="U62" s="26">
        <f>IF(Q62="PS",I62-P62,0)</f>
        <v>0</v>
      </c>
      <c r="V62" s="26">
        <f>IF(Q62="MP",H62,0)</f>
        <v>0</v>
      </c>
      <c r="W62" s="26">
        <f>IF(Q62="MP",I62-P62,0)</f>
        <v>0</v>
      </c>
      <c r="X62" s="26">
        <f>IF(Q62="OM",H62,0)</f>
        <v>0</v>
      </c>
      <c r="Y62" s="21"/>
      <c r="AI62" s="26">
        <f>SUM(Z63:Z64)</f>
        <v>0</v>
      </c>
      <c r="AJ62" s="26">
        <f>SUM(AA63:AA64)</f>
        <v>0</v>
      </c>
      <c r="AK62" s="26">
        <f>SUM(AB63:AB64)</f>
        <v>0</v>
      </c>
    </row>
    <row r="63" spans="1:32" ht="12.75">
      <c r="A63" s="5" t="s">
        <v>49</v>
      </c>
      <c r="B63" s="5"/>
      <c r="C63" s="5" t="s">
        <v>108</v>
      </c>
      <c r="D63" s="5" t="s">
        <v>216</v>
      </c>
      <c r="E63" s="5" t="s">
        <v>217</v>
      </c>
      <c r="F63" s="13">
        <v>2</v>
      </c>
      <c r="G63" s="13"/>
      <c r="H63" s="13">
        <f>ROUND(F63*AE63,2)</f>
        <v>0</v>
      </c>
      <c r="I63" s="13">
        <f>J63-H63</f>
        <v>0</v>
      </c>
      <c r="J63" s="13">
        <f>ROUND(F63*G63,2)</f>
        <v>0</v>
      </c>
      <c r="K63" s="13">
        <v>0</v>
      </c>
      <c r="L63" s="13">
        <f>F63*K63</f>
        <v>0</v>
      </c>
      <c r="N63" s="24" t="s">
        <v>8</v>
      </c>
      <c r="O63" s="13">
        <f>IF(N63="5",I63,0)</f>
        <v>0</v>
      </c>
      <c r="Z63" s="13">
        <f>IF(AD63=0,J63,0)</f>
        <v>0</v>
      </c>
      <c r="AA63" s="13">
        <f>IF(AD63=10,J63,0)</f>
        <v>0</v>
      </c>
      <c r="AB63" s="13">
        <f>IF(AD63=20,J63,0)</f>
        <v>0</v>
      </c>
      <c r="AD63" s="13">
        <v>0</v>
      </c>
      <c r="AE63" s="13">
        <f>G63*0</f>
        <v>0</v>
      </c>
      <c r="AF63" s="13">
        <f>G63*(1-0)</f>
        <v>0</v>
      </c>
    </row>
    <row r="64" spans="1:32" ht="12.75">
      <c r="A64" s="5" t="s">
        <v>50</v>
      </c>
      <c r="B64" s="5"/>
      <c r="C64" s="5" t="s">
        <v>109</v>
      </c>
      <c r="D64" s="5" t="s">
        <v>221</v>
      </c>
      <c r="E64" s="5" t="s">
        <v>218</v>
      </c>
      <c r="F64" s="13">
        <v>1</v>
      </c>
      <c r="G64" s="13"/>
      <c r="H64" s="13">
        <f>ROUND(F64*AE64,2)</f>
        <v>0</v>
      </c>
      <c r="I64" s="13">
        <f>J64-H64</f>
        <v>0</v>
      </c>
      <c r="J64" s="13">
        <f>ROUND(F64*G64,2)</f>
        <v>0</v>
      </c>
      <c r="K64" s="13">
        <v>3E-05</v>
      </c>
      <c r="L64" s="13">
        <f>F64*K64</f>
        <v>3E-05</v>
      </c>
      <c r="N64" s="24" t="s">
        <v>8</v>
      </c>
      <c r="O64" s="13">
        <f>IF(N64="5",I64,0)</f>
        <v>0</v>
      </c>
      <c r="Z64" s="13">
        <f>IF(AD64=0,J64,0)</f>
        <v>0</v>
      </c>
      <c r="AA64" s="13">
        <f>IF(AD64=10,J64,0)</f>
        <v>0</v>
      </c>
      <c r="AB64" s="13">
        <f>IF(AD64=20,J64,0)</f>
        <v>0</v>
      </c>
      <c r="AD64" s="13">
        <v>0</v>
      </c>
      <c r="AE64" s="13">
        <f>G64*0.215644820295983</f>
        <v>0</v>
      </c>
      <c r="AF64" s="13">
        <f>G64*(1-0.215644820295983)</f>
        <v>0</v>
      </c>
    </row>
    <row r="65" spans="1:37" ht="12.75">
      <c r="A65" s="4"/>
      <c r="B65" s="4"/>
      <c r="C65" s="11" t="s">
        <v>110</v>
      </c>
      <c r="D65" s="66" t="s">
        <v>161</v>
      </c>
      <c r="E65" s="67"/>
      <c r="F65" s="67"/>
      <c r="G65" s="67"/>
      <c r="H65" s="26">
        <f>SUM(H66:H70)</f>
        <v>0</v>
      </c>
      <c r="I65" s="26">
        <f>SUM(I66:I70)</f>
        <v>0</v>
      </c>
      <c r="J65" s="26">
        <f>SUM(J66:J70)</f>
        <v>0</v>
      </c>
      <c r="K65" s="21"/>
      <c r="L65" s="26">
        <f>SUM(L66:L70)</f>
        <v>0</v>
      </c>
      <c r="P65" s="26">
        <f>IF(Q65="PR",J65,SUM(O66:O70))</f>
        <v>0</v>
      </c>
      <c r="Q65" s="21" t="s">
        <v>192</v>
      </c>
      <c r="R65" s="26">
        <f>IF(Q65="HS",H65,0)</f>
        <v>0</v>
      </c>
      <c r="S65" s="26">
        <f>IF(Q65="HS",I65-P65,0)</f>
        <v>0</v>
      </c>
      <c r="T65" s="26">
        <f>IF(Q65="PS",H65,0)</f>
        <v>0</v>
      </c>
      <c r="U65" s="26">
        <f>IF(Q65="PS",I65-P65,0)</f>
        <v>0</v>
      </c>
      <c r="V65" s="26">
        <f>IF(Q65="MP",H65,0)</f>
        <v>0</v>
      </c>
      <c r="W65" s="26">
        <f>IF(Q65="MP",I65-P65,0)</f>
        <v>0</v>
      </c>
      <c r="X65" s="26">
        <f>IF(Q65="OM",H65,0)</f>
        <v>0</v>
      </c>
      <c r="Y65" s="21"/>
      <c r="AI65" s="26">
        <f>SUM(Z66:Z70)</f>
        <v>0</v>
      </c>
      <c r="AJ65" s="26">
        <f>SUM(AA66:AA70)</f>
        <v>0</v>
      </c>
      <c r="AK65" s="26">
        <f>SUM(AB66:AB70)</f>
        <v>0</v>
      </c>
    </row>
    <row r="66" spans="1:32" ht="12.75">
      <c r="A66" s="5" t="s">
        <v>51</v>
      </c>
      <c r="B66" s="5"/>
      <c r="C66" s="5" t="s">
        <v>111</v>
      </c>
      <c r="D66" s="5" t="s">
        <v>162</v>
      </c>
      <c r="E66" s="5" t="s">
        <v>172</v>
      </c>
      <c r="F66" s="13">
        <v>3</v>
      </c>
      <c r="G66" s="13"/>
      <c r="H66" s="13">
        <f>ROUND(F66*AE66,2)</f>
        <v>0</v>
      </c>
      <c r="I66" s="13">
        <f>J66-H66</f>
        <v>0</v>
      </c>
      <c r="J66" s="13">
        <f>ROUND(F66*G66,2)</f>
        <v>0</v>
      </c>
      <c r="K66" s="13">
        <v>0</v>
      </c>
      <c r="L66" s="13">
        <f>F66*K66</f>
        <v>0</v>
      </c>
      <c r="N66" s="24" t="s">
        <v>11</v>
      </c>
      <c r="O66" s="13">
        <f>IF(N66="5",I66,0)</f>
        <v>0</v>
      </c>
      <c r="Z66" s="13">
        <f>IF(AD66=0,J66,0)</f>
        <v>0</v>
      </c>
      <c r="AA66" s="13">
        <f>IF(AD66=10,J66,0)</f>
        <v>0</v>
      </c>
      <c r="AB66" s="13">
        <f>IF(AD66=20,J66,0)</f>
        <v>0</v>
      </c>
      <c r="AD66" s="13">
        <v>0</v>
      </c>
      <c r="AE66" s="13">
        <f>G66*0</f>
        <v>0</v>
      </c>
      <c r="AF66" s="13">
        <f>G66*(1-0)</f>
        <v>0</v>
      </c>
    </row>
    <row r="67" spans="1:32" ht="12.75">
      <c r="A67" s="5" t="s">
        <v>52</v>
      </c>
      <c r="B67" s="5"/>
      <c r="C67" s="5" t="s">
        <v>112</v>
      </c>
      <c r="D67" s="5" t="s">
        <v>163</v>
      </c>
      <c r="E67" s="5" t="s">
        <v>172</v>
      </c>
      <c r="F67" s="13">
        <v>3</v>
      </c>
      <c r="G67" s="13"/>
      <c r="H67" s="13">
        <f>ROUND(F67*AE67,2)</f>
        <v>0</v>
      </c>
      <c r="I67" s="13">
        <f>J67-H67</f>
        <v>0</v>
      </c>
      <c r="J67" s="13">
        <f>ROUND(F67*G67,2)</f>
        <v>0</v>
      </c>
      <c r="K67" s="13">
        <v>0</v>
      </c>
      <c r="L67" s="13">
        <f>F67*K67</f>
        <v>0</v>
      </c>
      <c r="N67" s="24" t="s">
        <v>11</v>
      </c>
      <c r="O67" s="13">
        <f>IF(N67="5",I67,0)</f>
        <v>0</v>
      </c>
      <c r="Z67" s="13">
        <f>IF(AD67=0,J67,0)</f>
        <v>0</v>
      </c>
      <c r="AA67" s="13">
        <f>IF(AD67=10,J67,0)</f>
        <v>0</v>
      </c>
      <c r="AB67" s="13">
        <f>IF(AD67=20,J67,0)</f>
        <v>0</v>
      </c>
      <c r="AD67" s="13">
        <v>0</v>
      </c>
      <c r="AE67" s="13">
        <f>G67*0</f>
        <v>0</v>
      </c>
      <c r="AF67" s="13">
        <f>G67*(1-0)</f>
        <v>0</v>
      </c>
    </row>
    <row r="68" spans="1:32" ht="12.75">
      <c r="A68" s="5" t="s">
        <v>53</v>
      </c>
      <c r="B68" s="5"/>
      <c r="C68" s="5" t="s">
        <v>113</v>
      </c>
      <c r="D68" s="5" t="s">
        <v>164</v>
      </c>
      <c r="E68" s="5" t="s">
        <v>172</v>
      </c>
      <c r="F68" s="13">
        <v>3</v>
      </c>
      <c r="G68" s="13"/>
      <c r="H68" s="13">
        <f>ROUND(F68*AE68,2)</f>
        <v>0</v>
      </c>
      <c r="I68" s="13">
        <f>J68-H68</f>
        <v>0</v>
      </c>
      <c r="J68" s="13">
        <f>ROUND(F68*G68,2)</f>
        <v>0</v>
      </c>
      <c r="K68" s="13">
        <v>0</v>
      </c>
      <c r="L68" s="13">
        <f>F68*K68</f>
        <v>0</v>
      </c>
      <c r="N68" s="24" t="s">
        <v>11</v>
      </c>
      <c r="O68" s="13">
        <f>IF(N68="5",I68,0)</f>
        <v>0</v>
      </c>
      <c r="Z68" s="13">
        <f>IF(AD68=0,J68,0)</f>
        <v>0</v>
      </c>
      <c r="AA68" s="13">
        <f>IF(AD68=10,J68,0)</f>
        <v>0</v>
      </c>
      <c r="AB68" s="13">
        <f>IF(AD68=20,J68,0)</f>
        <v>0</v>
      </c>
      <c r="AD68" s="13">
        <v>0</v>
      </c>
      <c r="AE68" s="13">
        <f>G68*0</f>
        <v>0</v>
      </c>
      <c r="AF68" s="13">
        <f>G68*(1-0)</f>
        <v>0</v>
      </c>
    </row>
    <row r="69" spans="1:32" ht="12.75">
      <c r="A69" s="5" t="s">
        <v>54</v>
      </c>
      <c r="B69" s="5"/>
      <c r="C69" s="5" t="s">
        <v>114</v>
      </c>
      <c r="D69" s="5" t="s">
        <v>165</v>
      </c>
      <c r="E69" s="5" t="s">
        <v>172</v>
      </c>
      <c r="F69" s="13">
        <v>15</v>
      </c>
      <c r="G69" s="13"/>
      <c r="H69" s="13">
        <f>ROUND(F69*AE69,2)</f>
        <v>0</v>
      </c>
      <c r="I69" s="13">
        <f>J69-H69</f>
        <v>0</v>
      </c>
      <c r="J69" s="13">
        <f>ROUND(F69*G69,2)</f>
        <v>0</v>
      </c>
      <c r="K69" s="13">
        <v>0</v>
      </c>
      <c r="L69" s="13">
        <f>F69*K69</f>
        <v>0</v>
      </c>
      <c r="N69" s="24" t="s">
        <v>11</v>
      </c>
      <c r="O69" s="13">
        <f>IF(N69="5",I69,0)</f>
        <v>0</v>
      </c>
      <c r="Z69" s="13">
        <f>IF(AD69=0,J69,0)</f>
        <v>0</v>
      </c>
      <c r="AA69" s="13">
        <f>IF(AD69=10,J69,0)</f>
        <v>0</v>
      </c>
      <c r="AB69" s="13">
        <f>IF(AD69=20,J69,0)</f>
        <v>0</v>
      </c>
      <c r="AD69" s="13">
        <v>0</v>
      </c>
      <c r="AE69" s="13">
        <f>G69*0</f>
        <v>0</v>
      </c>
      <c r="AF69" s="13">
        <f>G69*(1-0)</f>
        <v>0</v>
      </c>
    </row>
    <row r="70" spans="1:32" ht="12.75">
      <c r="A70" s="6" t="s">
        <v>55</v>
      </c>
      <c r="B70" s="6"/>
      <c r="C70" s="6" t="s">
        <v>115</v>
      </c>
      <c r="D70" s="6" t="s">
        <v>220</v>
      </c>
      <c r="E70" s="6" t="s">
        <v>172</v>
      </c>
      <c r="F70" s="14">
        <v>3</v>
      </c>
      <c r="G70" s="14"/>
      <c r="H70" s="14">
        <f>ROUND(F70*AE70,2)</f>
        <v>0</v>
      </c>
      <c r="I70" s="14">
        <f>J70-H70</f>
        <v>0</v>
      </c>
      <c r="J70" s="14">
        <f>ROUND(F70*G70,2)</f>
        <v>0</v>
      </c>
      <c r="K70" s="14">
        <v>0</v>
      </c>
      <c r="L70" s="14">
        <f>F70*K70</f>
        <v>0</v>
      </c>
      <c r="N70" s="24" t="s">
        <v>11</v>
      </c>
      <c r="O70" s="13">
        <f>IF(N70="5",I70,0)</f>
        <v>0</v>
      </c>
      <c r="Z70" s="13">
        <f>IF(AD70=0,J70,0)</f>
        <v>0</v>
      </c>
      <c r="AA70" s="13">
        <f>IF(AD70=10,J70,0)</f>
        <v>0</v>
      </c>
      <c r="AB70" s="13">
        <f>IF(AD70=20,J70,0)</f>
        <v>0</v>
      </c>
      <c r="AD70" s="13">
        <v>0</v>
      </c>
      <c r="AE70" s="13">
        <f>G70*0</f>
        <v>0</v>
      </c>
      <c r="AF70" s="13">
        <f>G70*(1-0)</f>
        <v>0</v>
      </c>
    </row>
    <row r="71" spans="1:28" ht="12.75">
      <c r="A71" s="7"/>
      <c r="B71" s="7"/>
      <c r="C71" s="7"/>
      <c r="D71" s="7"/>
      <c r="E71" s="7"/>
      <c r="F71" s="7"/>
      <c r="G71" s="7"/>
      <c r="H71" s="62" t="s">
        <v>179</v>
      </c>
      <c r="I71" s="63"/>
      <c r="J71" s="27">
        <f>J13+J40+J43+J45+J48+J56+J60+J62+J65</f>
        <v>0</v>
      </c>
      <c r="K71" s="7"/>
      <c r="L71" s="7"/>
      <c r="Z71" s="28">
        <f>SUM(Z13:Z70)</f>
        <v>0</v>
      </c>
      <c r="AA71" s="28">
        <f>SUM(AA13:AA70)</f>
        <v>0</v>
      </c>
      <c r="AB71" s="28">
        <f>SUM(AB13:AB70)</f>
        <v>0</v>
      </c>
    </row>
  </sheetData>
  <sheetProtection/>
  <mergeCells count="38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H10:J10"/>
    <mergeCell ref="K10:L10"/>
    <mergeCell ref="D12:G12"/>
    <mergeCell ref="D13:G13"/>
    <mergeCell ref="D40:G40"/>
    <mergeCell ref="D43:G43"/>
    <mergeCell ref="H71:I71"/>
    <mergeCell ref="D45:G45"/>
    <mergeCell ref="D48:G48"/>
    <mergeCell ref="D56:G56"/>
    <mergeCell ref="D60:G60"/>
    <mergeCell ref="D62:G62"/>
    <mergeCell ref="D65:G65"/>
  </mergeCells>
  <printOptions/>
  <pageMargins left="0.787401575" right="0.787401575" top="0.984251969" bottom="0.984251969" header="0.4921259845" footer="0.4921259845"/>
  <pageSetup horizontalDpi="600" verticalDpi="600" orientation="landscape" paperSize="9" scale="9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cp:lastPrinted>2023-06-14T11:49:32Z</cp:lastPrinted>
  <dcterms:modified xsi:type="dcterms:W3CDTF">2023-06-14T11:49:33Z</dcterms:modified>
  <cp:category/>
  <cp:version/>
  <cp:contentType/>
  <cp:contentStatus/>
</cp:coreProperties>
</file>