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Krycí list" sheetId="1" r:id="rId1"/>
    <sheet name="Rekapitulace" sheetId="2" r:id="rId2"/>
    <sheet name="Rozpočet-dívčí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<sst xmlns="http://schemas.openxmlformats.org/spreadsheetml/2006/main" count="565" uniqueCount="251">
  <si>
    <t>KRYCÍ LIST ROZPOČTU</t>
  </si>
  <si>
    <t>Název stavby</t>
  </si>
  <si>
    <t xml:space="preserve">škola Komenského 17, Domažlice - oprava fasády </t>
  </si>
  <si>
    <t>JKSO</t>
  </si>
  <si>
    <t xml:space="preserve"> </t>
  </si>
  <si>
    <t>Kód stavby</t>
  </si>
  <si>
    <t>30102012S</t>
  </si>
  <si>
    <t>Název objektu</t>
  </si>
  <si>
    <t>bývalá Dívčí škola</t>
  </si>
  <si>
    <t>EČO</t>
  </si>
  <si>
    <t>Kód objektu</t>
  </si>
  <si>
    <t>Název části</t>
  </si>
  <si>
    <t>JV průčelí</t>
  </si>
  <si>
    <t>Místo</t>
  </si>
  <si>
    <t>Komenského 17, Domažlice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</si>
  <si>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</si>
  <si>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</si>
  <si>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</si>
  <si>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</si>
  <si>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</si>
  <si>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</si>
  <si>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</si>
  <si>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MAPIRA s.r.o.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</si>
  <si>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</si>
  <si>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</si>
  <si>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</si>
  <si>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</si>
  <si>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</si>
  <si>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</si>
  <si>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</si>
  <si>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</si>
  <si>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</si>
  <si>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</si>
  <si>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</si>
  <si>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</si>
  <si>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</si>
  <si>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</si>
  <si>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</si>
  <si>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</si>
  <si>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</si>
  <si>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</si>
  <si>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</si>
  <si>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</si>
  <si>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</si>
  <si>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</si>
  <si>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</si>
  <si>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</si>
  <si>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</si>
  <si>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</si>
  <si>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</si>
  <si>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</si>
  <si>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</si>
  <si>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</si>
  <si>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</si>
  <si>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</si>
  <si>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</si>
  <si>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</si>
  <si>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</si>
  <si>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</si>
  <si>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</si>
  <si>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</si>
  <si>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</si>
  <si>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</si>
  <si>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</si>
  <si>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</si>
  <si>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</si>
  <si>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</si>
  <si>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</si>
  <si>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</si>
  <si>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</si>
  <si>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</si>
  <si>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</si>
  <si>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</si>
  <si>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</si>
  <si>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</si>
  <si>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</si>
  <si>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</si>
  <si>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</si>
  <si>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</si>
  <si>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</si>
  <si>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</si>
  <si>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</si>
  <si>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</si>
  <si>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</si>
  <si>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</si>
  <si>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</si>
  <si>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</si>
  <si>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</si>
  <si>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</si>
  <si>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</si>
  <si>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býv. Dívčí škola - JV průčelí</t>
  </si>
  <si>
    <t>JKSO:</t>
  </si>
  <si>
    <t>30.10.2012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</si>
  <si>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</si>
  <si>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</si>
  <si>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</si>
  <si>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</si>
  <si>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</si>
  <si>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</si>
  <si>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</si>
  <si>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</si>
  <si>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</si>
  <si>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</si>
  <si>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</si>
  <si>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</si>
  <si>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</si>
  <si>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</si>
  <si>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jedn.hmot.</t>
  </si>
  <si>
    <t>celk. hmot.</t>
  </si>
  <si>
    <t>jedn. Suť</t>
  </si>
  <si>
    <t>celk. suť</t>
  </si>
  <si>
    <t>Práce a dodávky HSV</t>
  </si>
  <si>
    <t>0</t>
  </si>
  <si>
    <t>6</t>
  </si>
  <si>
    <t>Úpravy povrchů, podlahy a osazování výplní</t>
  </si>
  <si>
    <t>1</t>
  </si>
  <si>
    <t>K</t>
  </si>
  <si>
    <t>PK</t>
  </si>
  <si>
    <t>provedení nové bosáže 1NP do 80% celkové plochy vč. opravy a sjednocení</t>
  </si>
  <si>
    <t>m2</t>
  </si>
  <si>
    <t>2</t>
  </si>
  <si>
    <t>oprava podokenních zrcadel 1.NP</t>
  </si>
  <si>
    <t>ks</t>
  </si>
  <si>
    <t>oprava a doplnění plastického nárožního kvádrování - 1NP</t>
  </si>
  <si>
    <t>m</t>
  </si>
  <si>
    <t>oprava a doplnění štukových šambrán oken - 1.NP</t>
  </si>
  <si>
    <t>014</t>
  </si>
  <si>
    <t>oprava a doplnění kordonové římsy rš dp 90 cm - poškození do 60%</t>
  </si>
  <si>
    <t>622425621</t>
  </si>
  <si>
    <t>oprava vnějších omítek vápenných a vápennocementových členitosti V štukových rozsahu 70 %</t>
  </si>
  <si>
    <t>622902110</t>
  </si>
  <si>
    <t>očištění po opravách říms a šambrán</t>
  </si>
  <si>
    <t>622904115</t>
  </si>
  <si>
    <t>očištění a omytí cihelného obkladu fasád tlakovou vodou slož. 3 až 5</t>
  </si>
  <si>
    <t>289904111R</t>
  </si>
  <si>
    <t>vysekání spár plochy cihelného obkladu fasády s vypláchnutím vodou</t>
  </si>
  <si>
    <t>289474211</t>
  </si>
  <si>
    <t>spárování plochy cihelného obkladu fasády MVC do hl. 3 cm</t>
  </si>
  <si>
    <t>622901110</t>
  </si>
  <si>
    <t>očištění po opravách spárovaných ploch</t>
  </si>
  <si>
    <t>oprava a doplnění štukových šambrán oken 2.NP a 3.NP v ploše cihelných obkladů - poškození do 70%</t>
  </si>
  <si>
    <t>oprava a doplnění omítek a iluzivní malby 2.NP a 3.NP</t>
  </si>
  <si>
    <t>oprava a doplnění štuk šambrán 2.NP a 3.NP v ploše iluzivní malby kvádrování - poškození do 70%</t>
  </si>
  <si>
    <t>011</t>
  </si>
  <si>
    <t>mytí , revize a případná oprava max. do 10% - pás sgrafit a lunet</t>
  </si>
  <si>
    <t>oprava štukové podokapní římsy rš do 90 cm - poškození do 30%</t>
  </si>
  <si>
    <t>oprava štukové  římsy věže kordonové rš do 90 cm - poškození 80 až 100%</t>
  </si>
  <si>
    <r>
      <rPr>
        <sz val="8"/>
        <rFont val="Arial"/>
        <family val="2"/>
      </rPr>
      <t xml:space="preserve">oprava štukové  římsy věže podokapní </t>
    </r>
    <r>
      <rPr>
        <sz val="8"/>
        <color indexed="10"/>
        <rFont val="Arial"/>
        <family val="2"/>
      </rPr>
      <t>rš do 65 cm</t>
    </r>
    <r>
      <rPr>
        <sz val="8"/>
        <rFont val="Arial"/>
        <family val="2"/>
      </rPr>
      <t xml:space="preserve"> - poškození 80 až 100%</t>
    </r>
  </si>
  <si>
    <t>622425421</t>
  </si>
  <si>
    <t>oprava vnějších omítek vápenných a vápennocementových členitosti V štukových rozsahu 40 %</t>
  </si>
  <si>
    <t>štukové prvky atik a štítů - kuželky - poškození 80 až 100%</t>
  </si>
  <si>
    <r>
      <rPr>
        <sz val="8"/>
        <rFont val="Arial"/>
        <family val="2"/>
      </rPr>
      <t xml:space="preserve">římsy štítů a kruhové věže </t>
    </r>
    <r>
      <rPr>
        <sz val="8"/>
        <color indexed="10"/>
        <rFont val="Arial"/>
        <family val="2"/>
      </rPr>
      <t xml:space="preserve">rš do 65 cm </t>
    </r>
    <r>
      <rPr>
        <sz val="8"/>
        <rFont val="Arial"/>
        <family val="2"/>
      </rPr>
      <t>- poškození 80 až 100%</t>
    </r>
  </si>
  <si>
    <t>opravy a doplnění ostatních ploch štítů a kruhové věže</t>
  </si>
  <si>
    <t>622411131R</t>
  </si>
  <si>
    <t>nátěr vnější omítky vč. iluzivních maleb silikátovou barvou z postaveného lešení , st. Slož.  I až II</t>
  </si>
  <si>
    <t>620411139R</t>
  </si>
  <si>
    <t xml:space="preserve">příplatek k ceně nátěru barvou silikátovou za hrubě zrnitý podklad </t>
  </si>
  <si>
    <t>oprava a doplnění sgrafita</t>
  </si>
  <si>
    <t>konzervace a hydrofobizace sgrafita</t>
  </si>
  <si>
    <t>622471116</t>
  </si>
  <si>
    <t>tenkovrstvá úprava na rovném povrchu vnějších svislých kcí aktivovaným štukem s disperzní přísadou, z lešení, nanášení a vyhlazení plstí, tl. 2 až  3mm</t>
  </si>
  <si>
    <t xml:space="preserve">620 99-1121 
</t>
  </si>
  <si>
    <t>Zakrytí výplní otvorů a svislých ploch fólií přilepenou lepící páskou</t>
  </si>
  <si>
    <t>9</t>
  </si>
  <si>
    <t>Ostatní konstrukce a práce-bourání</t>
  </si>
  <si>
    <t>003</t>
  </si>
  <si>
    <t xml:space="preserve">941 94-1052 
</t>
  </si>
  <si>
    <t>Montáž lešení řadového trubkového lehkého s podlahami zatížení do 200 kg/m2 š do 1,5 m v do 25 m</t>
  </si>
  <si>
    <t>941 94-1392</t>
  </si>
  <si>
    <t>Příplatek k lešení řadovému trubkovému lehkému s podlahami š 1,5 m v 25 m za první a ZKD měsíc použití</t>
  </si>
  <si>
    <t>941 94-1852</t>
  </si>
  <si>
    <t>Demontáž lešení řadového trubkového lehkého s podlahami zatížení do 200 kg/m2 š do 1,5 m v do 25 m</t>
  </si>
  <si>
    <t xml:space="preserve">944 94-4011 
</t>
  </si>
  <si>
    <t>Montáž ochranné plachty z textilie z umělých vláken</t>
  </si>
  <si>
    <t xml:space="preserve">944 94-4031 
</t>
  </si>
  <si>
    <t>Příplatek k ochranné plachtě za první a ZKD měsíc použití</t>
  </si>
  <si>
    <t xml:space="preserve">944 94-4081 
944 94-4011 
</t>
  </si>
  <si>
    <t>demontáž ochranné plachty z textilie z umělých vláken</t>
  </si>
  <si>
    <t xml:space="preserve">944 94-5013 
</t>
  </si>
  <si>
    <t>Montáž záchytné stříšky š přes 2,5 m</t>
  </si>
  <si>
    <t xml:space="preserve">944 94-5193 
</t>
  </si>
  <si>
    <t>Příplatek k záchytné stříšce š přes 2,5 m za první a ZKD den použití</t>
  </si>
  <si>
    <t xml:space="preserve">944 94-5813 
</t>
  </si>
  <si>
    <t>demontáž záchytné stříšky š přes 2,5 m</t>
  </si>
  <si>
    <t xml:space="preserve">978 01-5371 
</t>
  </si>
  <si>
    <t>otlučení omítek vnějších vápenných nebo vápenno cementových - st. Slož. V až VII, rozsah do 70%</t>
  </si>
  <si>
    <t xml:space="preserve">978 02-3411 
</t>
  </si>
  <si>
    <t>Vysekání a vyčištění spár zdiva cihelného mimo komínového</t>
  </si>
  <si>
    <t>-1</t>
  </si>
  <si>
    <t>953 94-5111.RT8</t>
  </si>
  <si>
    <t xml:space="preserve">Ochranný pás proti ptákům hrotový, lepením  m 340,50 
 šířka 200 mm, výška 150 mm, 100 ks hrotů 
</t>
  </si>
  <si>
    <t>99</t>
  </si>
  <si>
    <t>Přesun hmot</t>
  </si>
  <si>
    <t>013</t>
  </si>
  <si>
    <t xml:space="preserve">979 08-2111 
</t>
  </si>
  <si>
    <t>Vnitrostaveništní doprava suti a vybouraných hmot  - vzdálenost do 10 m</t>
  </si>
  <si>
    <t>t</t>
  </si>
  <si>
    <t>3</t>
  </si>
  <si>
    <t xml:space="preserve">979 08-2121 
</t>
  </si>
  <si>
    <t>Vnitrostaveništní doprava suti a vybouraných hmot - vzdálenost ZKD 5 m</t>
  </si>
  <si>
    <t xml:space="preserve">979 01-1111 
</t>
  </si>
  <si>
    <t>svislá doprava suti a vybouraných hmot - doprava za 2.NP nebo 1.PP</t>
  </si>
  <si>
    <t xml:space="preserve">979 01-1121 
</t>
  </si>
  <si>
    <t>svislá doprava suti a vybouraných hmot - doprava ZKD podlaží</t>
  </si>
  <si>
    <t>979095312</t>
  </si>
  <si>
    <t xml:space="preserve">nakládání suti na dopravní prostředky </t>
  </si>
  <si>
    <t>997013501</t>
  </si>
  <si>
    <t>Odvoz suti na skládku a vybouraných hmot nebo meziskládku do 1 km se složením</t>
  </si>
  <si>
    <t>997013509</t>
  </si>
  <si>
    <t>Příplatek k odvozu suti a vybouraných hmot na skládku ZKD 1 km přes 1 km</t>
  </si>
  <si>
    <t>997013803</t>
  </si>
  <si>
    <t>Poplatek za uložení stavebního odpadu z keramických materiálů na skládce (skládkovné)</t>
  </si>
  <si>
    <t>999281211</t>
  </si>
  <si>
    <t>přesun hmot pro opravy a údržbu vnějšího pláště budov v do 25 m</t>
  </si>
  <si>
    <t>Práce a dodávky PSV</t>
  </si>
  <si>
    <t>764</t>
  </si>
  <si>
    <t>Konstrukce klempířské</t>
  </si>
  <si>
    <t xml:space="preserve">764 52-1240 
</t>
  </si>
  <si>
    <t>oplechování říms a ozdobných prvků z Cu plechu rš 250 mm - KL 1</t>
  </si>
  <si>
    <t xml:space="preserve">764 52-1260 
</t>
  </si>
  <si>
    <t>oplechování říms a ozdobných prvků z Cu plechu rš 400 mm - KL 2</t>
  </si>
  <si>
    <t xml:space="preserve">764 52-1220 
</t>
  </si>
  <si>
    <t>oplechování říms a ozdobných prvků z Cu plechu rš 150 mm - KL 3</t>
  </si>
  <si>
    <t xml:space="preserve">764 52-1250 
</t>
  </si>
  <si>
    <t>oplechování říms a ozdobných prvků z Cu plechu rš 330 mm - KL 4</t>
  </si>
  <si>
    <t>oplechování říms a ozdobných prvků z Cu plechu rš 330 mm - KL 5</t>
  </si>
  <si>
    <t xml:space="preserve">764 52-1920 
</t>
  </si>
  <si>
    <t>revize, oprava a nastavení okapnice věžičky  rš do 150 mm - KL 6</t>
  </si>
  <si>
    <t>oplechování říms a ozdobných prvků z Cu plechu rš 400 mm - oblouková atika KL 7</t>
  </si>
  <si>
    <t xml:space="preserve">764 51-0250 
</t>
  </si>
  <si>
    <t>oplechování parapetů z Cu plechu vč. rohů rš 330 mm - KL 8</t>
  </si>
  <si>
    <t xml:space="preserve">764 52-1970 R
</t>
  </si>
  <si>
    <t>revize a doplnění 10% stávajích klempířských kcí rš do 500 mm</t>
  </si>
  <si>
    <t xml:space="preserve">998 76-4203 
</t>
  </si>
  <si>
    <t>přesun hmot pro klempířské kce - v. do 24 m</t>
  </si>
  <si>
    <t>Konstrukce truhlářské</t>
  </si>
  <si>
    <t>repase dřev vstupních dveří 2kř 1900/4460 s nadsvětlíkem a ozdobnou kovanou mříží - TR 1 - viz PD část truhlářské prvky a fotodokumentace</t>
  </si>
  <si>
    <t>repase dřev oken štítových 650/1050 - TR 2 - viz PD část truhlářské prvky a fotodokumentace</t>
  </si>
  <si>
    <t>repase dřev oken pod věží 650/1650 - TR 3 - viz PD část truhlářské prvky a fotodokumentace</t>
  </si>
  <si>
    <t xml:space="preserve">998 76-6203 
</t>
  </si>
  <si>
    <t>přesun hmot pro truhlářské kce - v. do 24 m</t>
  </si>
  <si>
    <t>Konstrukce z přírodního kamene</t>
  </si>
  <si>
    <t>lokální opravy kamenného soklu - předpoklad 10% celk rozsahu - doplnění umělým kamenem</t>
  </si>
  <si>
    <t xml:space="preserve">627 45-2921
</t>
  </si>
  <si>
    <t>oprava a obnova spárování obkladu kamenného soklu - zatření spár jakoukoliv maltou cementovou, s vyškrabáním spár, s vypláchnutím spár vodou a očištěním povrchu zdiva po vyspárování</t>
  </si>
  <si>
    <t xml:space="preserve">216 90-4391 
</t>
  </si>
  <si>
    <t>očištění povrchu kamenného obkladu drátěným kartáčem</t>
  </si>
  <si>
    <t xml:space="preserve">622 49-1142 R
</t>
  </si>
  <si>
    <t>impregnace kamenného obkladu soklu Porosilem ZV</t>
  </si>
  <si>
    <t xml:space="preserve">998 78-2201 
</t>
  </si>
  <si>
    <t>přesun hmot pro kce z přírodního kamene - v. do 6 m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</si>
</sst>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###;\-####"/>
    <numFmt numFmtId="166" formatCode="@"/>
    <numFmt numFmtId="167" formatCode="#,##0;\-#,##0"/>
    <numFmt numFmtId="168" formatCode="#,##0.00;\-#,##0.00"/>
    <numFmt numFmtId="169" formatCode="#,##0.00_ ;\-#,##0.00\ "/>
    <numFmt numFmtId="170" formatCode="#,##0.0000;\-#,##0.0000"/>
    <numFmt numFmtId="171" formatCode="DD/MM/YYYY"/>
    <numFmt numFmtId="172" formatCode="#,##0.000;\-#,##0.000"/>
    <numFmt numFmtId="173" formatCode="0.000"/>
    <numFmt numFmtId="174" formatCode="#,##0.00000;\-#,##0.00000"/>
    <numFmt numFmtId="175" formatCode="#,##0.0;\-#,##0.0"/>
  </numFmts>
  <fonts count="24">
    <font>
      <sz val="10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sz val="8"/>
      <color indexed="9"/>
      <name val="Arial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sz val="8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</borders>
  <cellStyleXfs count="20">
    <xf numFmtId="164" fontId="0" fillId="0" borderId="0">
      <alignment vertical="top" wrapText="1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4">
    <xf numFmtId="164" fontId="0" fillId="0" borderId="0" xfId="0" applyAlignment="1">
      <alignment vertical="top" wrapText="1"/>
    </xf>
    <xf numFmtId="164" fontId="0" fillId="0" borderId="0" xfId="0" applyAlignment="1" applyProtection="1">
      <alignment horizontal="left" vertical="top"/>
      <protection/>
    </xf>
    <xf numFmtId="164" fontId="0" fillId="0" borderId="1" xfId="0" applyFont="1" applyBorder="1" applyAlignment="1" applyProtection="1">
      <alignment horizontal="left"/>
      <protection/>
    </xf>
    <xf numFmtId="164" fontId="0" fillId="0" borderId="2" xfId="0" applyFont="1" applyBorder="1" applyAlignment="1" applyProtection="1">
      <alignment horizontal="left"/>
      <protection/>
    </xf>
    <xf numFmtId="164" fontId="0" fillId="0" borderId="3" xfId="0" applyFont="1" applyBorder="1" applyAlignment="1" applyProtection="1">
      <alignment horizontal="left"/>
      <protection/>
    </xf>
    <xf numFmtId="164" fontId="1" fillId="0" borderId="2" xfId="0" applyFont="1" applyBorder="1" applyAlignment="1" applyProtection="1">
      <alignment horizontal="left"/>
      <protection/>
    </xf>
    <xf numFmtId="164" fontId="0" fillId="0" borderId="4" xfId="0" applyFont="1" applyBorder="1" applyAlignment="1" applyProtection="1">
      <alignment horizontal="left"/>
      <protection/>
    </xf>
    <xf numFmtId="164" fontId="0" fillId="0" borderId="5" xfId="0" applyFont="1" applyBorder="1" applyAlignment="1" applyProtection="1">
      <alignment horizontal="left"/>
      <protection/>
    </xf>
    <xf numFmtId="164" fontId="0" fillId="0" borderId="6" xfId="0" applyFont="1" applyBorder="1" applyAlignment="1" applyProtection="1">
      <alignment horizontal="left"/>
      <protection/>
    </xf>
    <xf numFmtId="164" fontId="2" fillId="0" borderId="1" xfId="0" applyFont="1" applyBorder="1" applyAlignment="1" applyProtection="1">
      <alignment horizontal="left" vertical="center"/>
      <protection/>
    </xf>
    <xf numFmtId="164" fontId="2" fillId="0" borderId="2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left" vertical="center"/>
      <protection/>
    </xf>
    <xf numFmtId="164" fontId="2" fillId="0" borderId="7" xfId="0" applyFont="1" applyBorder="1" applyAlignment="1" applyProtection="1">
      <alignment horizontal="left" vertical="center"/>
      <protection/>
    </xf>
    <xf numFmtId="164" fontId="2" fillId="0" borderId="0" xfId="0" applyFont="1" applyAlignment="1" applyProtection="1">
      <alignment horizontal="left" vertical="center"/>
      <protection/>
    </xf>
    <xf numFmtId="164" fontId="3" fillId="0" borderId="8" xfId="0" applyFont="1" applyBorder="1" applyAlignment="1" applyProtection="1">
      <alignment horizontal="left" vertical="center" wrapText="1"/>
      <protection/>
    </xf>
    <xf numFmtId="164" fontId="3" fillId="0" borderId="9" xfId="0" applyFont="1" applyBorder="1" applyAlignment="1" applyProtection="1">
      <alignment horizontal="left" vertical="center"/>
      <protection/>
    </xf>
    <xf numFmtId="165" fontId="3" fillId="0" borderId="10" xfId="0" applyNumberFormat="1" applyFont="1" applyBorder="1" applyAlignment="1" applyProtection="1">
      <alignment horizontal="right" vertical="center"/>
      <protection/>
    </xf>
    <xf numFmtId="164" fontId="2" fillId="0" borderId="11" xfId="0" applyFont="1" applyBorder="1" applyAlignment="1" applyProtection="1">
      <alignment horizontal="left" vertical="center"/>
      <protection/>
    </xf>
    <xf numFmtId="164" fontId="2" fillId="0" borderId="12" xfId="0" applyFont="1" applyBorder="1" applyAlignment="1" applyProtection="1">
      <alignment horizontal="left" vertical="center"/>
      <protection/>
    </xf>
    <xf numFmtId="164" fontId="3" fillId="0" borderId="13" xfId="0" applyFont="1" applyBorder="1" applyAlignment="1" applyProtection="1">
      <alignment horizontal="left" vertical="center" wrapText="1"/>
      <protection/>
    </xf>
    <xf numFmtId="164" fontId="2" fillId="0" borderId="14" xfId="0" applyFont="1" applyBorder="1" applyAlignment="1" applyProtection="1">
      <alignment horizontal="left" vertical="center"/>
      <protection/>
    </xf>
    <xf numFmtId="165" fontId="3" fillId="0" borderId="13" xfId="0" applyNumberFormat="1" applyFont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right" vertical="center"/>
      <protection/>
    </xf>
    <xf numFmtId="164" fontId="3" fillId="0" borderId="15" xfId="0" applyFont="1" applyBorder="1" applyAlignment="1" applyProtection="1">
      <alignment horizontal="left" vertical="top" wrapText="1"/>
      <protection/>
    </xf>
    <xf numFmtId="164" fontId="3" fillId="0" borderId="13" xfId="0" applyFont="1" applyBorder="1" applyAlignment="1" applyProtection="1">
      <alignment horizontal="left" vertical="center"/>
      <protection/>
    </xf>
    <xf numFmtId="164" fontId="3" fillId="0" borderId="13" xfId="0" applyFont="1" applyBorder="1" applyAlignment="1" applyProtection="1">
      <alignment horizontal="left" vertical="top" wrapText="1"/>
      <protection/>
    </xf>
    <xf numFmtId="164" fontId="3" fillId="0" borderId="16" xfId="0" applyFont="1" applyBorder="1" applyAlignment="1" applyProtection="1">
      <alignment horizontal="left" vertical="top" wrapText="1"/>
      <protection/>
    </xf>
    <xf numFmtId="164" fontId="3" fillId="0" borderId="16" xfId="0" applyFont="1" applyBorder="1" applyAlignment="1" applyProtection="1">
      <alignment horizontal="left" vertical="center" wrapText="1"/>
      <protection/>
    </xf>
    <xf numFmtId="164" fontId="3" fillId="0" borderId="0" xfId="0" applyFont="1" applyAlignment="1" applyProtection="1">
      <alignment horizontal="left" vertical="top" wrapText="1"/>
      <protection/>
    </xf>
    <xf numFmtId="164" fontId="3" fillId="0" borderId="0" xfId="0" applyFont="1" applyAlignment="1" applyProtection="1">
      <alignment horizontal="left" vertical="top"/>
      <protection/>
    </xf>
    <xf numFmtId="164" fontId="2" fillId="0" borderId="10" xfId="0" applyFont="1" applyBorder="1" applyAlignment="1" applyProtection="1">
      <alignment horizontal="left" vertical="center"/>
      <protection/>
    </xf>
    <xf numFmtId="164" fontId="3" fillId="0" borderId="17" xfId="0" applyFont="1" applyBorder="1" applyAlignment="1" applyProtection="1">
      <alignment horizontal="left" vertical="center"/>
      <protection/>
    </xf>
    <xf numFmtId="164" fontId="3" fillId="0" borderId="18" xfId="0" applyFont="1" applyBorder="1" applyAlignment="1" applyProtection="1">
      <alignment horizontal="left" vertical="center"/>
      <protection/>
    </xf>
    <xf numFmtId="165" fontId="3" fillId="0" borderId="19" xfId="0" applyNumberFormat="1" applyFont="1" applyBorder="1" applyAlignment="1" applyProtection="1">
      <alignment horizontal="right" vertical="center"/>
      <protection/>
    </xf>
    <xf numFmtId="164" fontId="2" fillId="0" borderId="20" xfId="0" applyFont="1" applyBorder="1" applyAlignment="1" applyProtection="1">
      <alignment horizontal="left" vertical="center"/>
      <protection/>
    </xf>
    <xf numFmtId="164" fontId="4" fillId="0" borderId="13" xfId="0" applyFont="1" applyBorder="1" applyAlignment="1" applyProtection="1">
      <alignment horizontal="left" vertical="center"/>
      <protection/>
    </xf>
    <xf numFmtId="164" fontId="3" fillId="0" borderId="21" xfId="0" applyFont="1" applyBorder="1" applyAlignment="1" applyProtection="1">
      <alignment horizontal="left" vertical="center"/>
      <protection/>
    </xf>
    <xf numFmtId="164" fontId="2" fillId="0" borderId="22" xfId="0" applyFont="1" applyBorder="1" applyAlignment="1" applyProtection="1">
      <alignment horizontal="left" vertical="center"/>
      <protection/>
    </xf>
    <xf numFmtId="164" fontId="2" fillId="0" borderId="23" xfId="0" applyFont="1" applyBorder="1" applyAlignment="1" applyProtection="1">
      <alignment horizontal="left" vertical="center"/>
      <protection/>
    </xf>
    <xf numFmtId="164" fontId="3" fillId="0" borderId="0" xfId="0" applyFont="1" applyAlignment="1" applyProtection="1">
      <alignment horizontal="left" vertical="center"/>
      <protection/>
    </xf>
    <xf numFmtId="164" fontId="5" fillId="0" borderId="0" xfId="0" applyFont="1" applyAlignment="1" applyProtection="1">
      <alignment horizontal="left" vertical="center"/>
      <protection/>
    </xf>
    <xf numFmtId="164" fontId="2" fillId="0" borderId="19" xfId="0" applyFont="1" applyBorder="1" applyAlignment="1" applyProtection="1">
      <alignment horizontal="left" vertical="center"/>
      <protection/>
    </xf>
    <xf numFmtId="165" fontId="3" fillId="0" borderId="20" xfId="0" applyNumberFormat="1" applyFont="1" applyBorder="1" applyAlignment="1" applyProtection="1">
      <alignment horizontal="right" vertical="center"/>
      <protection/>
    </xf>
    <xf numFmtId="166" fontId="3" fillId="0" borderId="17" xfId="0" applyNumberFormat="1" applyFont="1" applyBorder="1" applyAlignment="1" applyProtection="1">
      <alignment horizontal="left" vertical="center"/>
      <protection/>
    </xf>
    <xf numFmtId="164" fontId="6" fillId="0" borderId="0" xfId="0" applyFont="1" applyAlignment="1" applyProtection="1">
      <alignment horizontal="left" vertical="center"/>
      <protection/>
    </xf>
    <xf numFmtId="164" fontId="2" fillId="0" borderId="4" xfId="0" applyFont="1" applyBorder="1" applyAlignment="1" applyProtection="1">
      <alignment horizontal="left" vertical="center"/>
      <protection/>
    </xf>
    <xf numFmtId="164" fontId="2" fillId="0" borderId="5" xfId="0" applyFont="1" applyBorder="1" applyAlignment="1" applyProtection="1">
      <alignment horizontal="left" vertical="center"/>
      <protection/>
    </xf>
    <xf numFmtId="164" fontId="2" fillId="0" borderId="6" xfId="0" applyFont="1" applyBorder="1" applyAlignment="1" applyProtection="1">
      <alignment horizontal="left" vertical="center"/>
      <protection/>
    </xf>
    <xf numFmtId="164" fontId="2" fillId="0" borderId="24" xfId="0" applyFont="1" applyBorder="1" applyAlignment="1" applyProtection="1">
      <alignment horizontal="left" vertical="center"/>
      <protection/>
    </xf>
    <xf numFmtId="164" fontId="2" fillId="0" borderId="25" xfId="0" applyFont="1" applyBorder="1" applyAlignment="1" applyProtection="1">
      <alignment horizontal="left" vertical="center"/>
      <protection/>
    </xf>
    <xf numFmtId="164" fontId="7" fillId="0" borderId="25" xfId="0" applyFont="1" applyBorder="1" applyAlignment="1" applyProtection="1">
      <alignment horizontal="left" vertical="center"/>
      <protection/>
    </xf>
    <xf numFmtId="164" fontId="2" fillId="0" borderId="26" xfId="0" applyFont="1" applyBorder="1" applyAlignment="1" applyProtection="1">
      <alignment horizontal="left" vertical="center"/>
      <protection/>
    </xf>
    <xf numFmtId="164" fontId="2" fillId="0" borderId="27" xfId="0" applyFont="1" applyBorder="1" applyAlignment="1" applyProtection="1">
      <alignment horizontal="left" vertical="center"/>
      <protection/>
    </xf>
    <xf numFmtId="164" fontId="2" fillId="0" borderId="28" xfId="0" applyFont="1" applyBorder="1" applyAlignment="1" applyProtection="1">
      <alignment horizontal="left" vertical="center"/>
      <protection/>
    </xf>
    <xf numFmtId="164" fontId="2" fillId="0" borderId="29" xfId="0" applyFont="1" applyBorder="1" applyAlignment="1" applyProtection="1">
      <alignment horizontal="left" vertical="center"/>
      <protection/>
    </xf>
    <xf numFmtId="164" fontId="2" fillId="0" borderId="30" xfId="0" applyFont="1" applyBorder="1" applyAlignment="1" applyProtection="1">
      <alignment horizontal="left" vertical="center"/>
      <protection/>
    </xf>
    <xf numFmtId="164" fontId="2" fillId="0" borderId="31" xfId="0" applyFont="1" applyBorder="1" applyAlignment="1" applyProtection="1">
      <alignment horizontal="left" vertical="center"/>
      <protection/>
    </xf>
    <xf numFmtId="167" fontId="0" fillId="0" borderId="32" xfId="0" applyNumberFormat="1" applyFont="1" applyBorder="1" applyAlignment="1" applyProtection="1">
      <alignment horizontal="right" vertical="center"/>
      <protection/>
    </xf>
    <xf numFmtId="167" fontId="0" fillId="0" borderId="33" xfId="0" applyNumberFormat="1" applyFont="1" applyBorder="1" applyAlignment="1" applyProtection="1">
      <alignment horizontal="right" vertical="center"/>
      <protection/>
    </xf>
    <xf numFmtId="167" fontId="8" fillId="0" borderId="34" xfId="0" applyNumberFormat="1" applyFont="1" applyBorder="1" applyAlignment="1" applyProtection="1">
      <alignment horizontal="right" vertical="center"/>
      <protection/>
    </xf>
    <xf numFmtId="168" fontId="8" fillId="0" borderId="35" xfId="0" applyNumberFormat="1" applyFont="1" applyBorder="1" applyAlignment="1" applyProtection="1">
      <alignment horizontal="right" vertical="center"/>
      <protection/>
    </xf>
    <xf numFmtId="167" fontId="0" fillId="0" borderId="34" xfId="0" applyNumberFormat="1" applyFont="1" applyBorder="1" applyAlignment="1" applyProtection="1">
      <alignment horizontal="right" vertical="center"/>
      <protection/>
    </xf>
    <xf numFmtId="167" fontId="0" fillId="0" borderId="35" xfId="0" applyNumberFormat="1" applyFont="1" applyBorder="1" applyAlignment="1" applyProtection="1">
      <alignment horizontal="right" vertical="center"/>
      <protection/>
    </xf>
    <xf numFmtId="167" fontId="8" fillId="0" borderId="33" xfId="0" applyNumberFormat="1" applyFont="1" applyBorder="1" applyAlignment="1" applyProtection="1">
      <alignment horizontal="right" vertical="center"/>
      <protection/>
    </xf>
    <xf numFmtId="168" fontId="8" fillId="0" borderId="33" xfId="0" applyNumberFormat="1" applyFont="1" applyBorder="1" applyAlignment="1" applyProtection="1">
      <alignment horizontal="right" vertical="center"/>
      <protection/>
    </xf>
    <xf numFmtId="167" fontId="0" fillId="0" borderId="36" xfId="0" applyNumberFormat="1" applyFont="1" applyBorder="1" applyAlignment="1" applyProtection="1">
      <alignment horizontal="right" vertical="center"/>
      <protection/>
    </xf>
    <xf numFmtId="164" fontId="7" fillId="0" borderId="25" xfId="0" applyFont="1" applyBorder="1" applyAlignment="1" applyProtection="1">
      <alignment horizontal="left" vertical="center" wrapText="1"/>
      <protection/>
    </xf>
    <xf numFmtId="164" fontId="9" fillId="0" borderId="27" xfId="0" applyFont="1" applyBorder="1" applyAlignment="1" applyProtection="1">
      <alignment horizontal="left" vertical="center"/>
      <protection/>
    </xf>
    <xf numFmtId="164" fontId="9" fillId="0" borderId="29" xfId="0" applyFont="1" applyBorder="1" applyAlignment="1" applyProtection="1">
      <alignment horizontal="left" vertical="center"/>
      <protection/>
    </xf>
    <xf numFmtId="164" fontId="7" fillId="0" borderId="30" xfId="0" applyFont="1" applyBorder="1" applyAlignment="1" applyProtection="1">
      <alignment horizontal="left" vertical="center"/>
      <protection/>
    </xf>
    <xf numFmtId="164" fontId="7" fillId="0" borderId="28" xfId="0" applyFont="1" applyBorder="1" applyAlignment="1" applyProtection="1">
      <alignment horizontal="left" vertical="center"/>
      <protection/>
    </xf>
    <xf numFmtId="164" fontId="7" fillId="0" borderId="31" xfId="0" applyFont="1" applyBorder="1" applyAlignment="1" applyProtection="1">
      <alignment horizontal="left" vertical="center"/>
      <protection/>
    </xf>
    <xf numFmtId="164" fontId="7" fillId="0" borderId="29" xfId="0" applyFont="1" applyBorder="1" applyAlignment="1" applyProtection="1">
      <alignment horizontal="left" vertical="center"/>
      <protection/>
    </xf>
    <xf numFmtId="165" fontId="2" fillId="0" borderId="37" xfId="0" applyNumberFormat="1" applyFont="1" applyBorder="1" applyAlignment="1" applyProtection="1">
      <alignment horizontal="center" vertical="center"/>
      <protection/>
    </xf>
    <xf numFmtId="164" fontId="10" fillId="0" borderId="9" xfId="0" applyFont="1" applyBorder="1" applyAlignment="1" applyProtection="1">
      <alignment horizontal="left" vertical="center"/>
      <protection/>
    </xf>
    <xf numFmtId="164" fontId="2" fillId="0" borderId="17" xfId="0" applyFont="1" applyBorder="1" applyAlignment="1" applyProtection="1">
      <alignment horizontal="left" vertical="center"/>
      <protection/>
    </xf>
    <xf numFmtId="168" fontId="8" fillId="0" borderId="18" xfId="0" applyNumberFormat="1" applyFont="1" applyBorder="1" applyAlignment="1" applyProtection="1">
      <alignment horizontal="right" vertical="center"/>
      <protection/>
    </xf>
    <xf numFmtId="164" fontId="2" fillId="0" borderId="38" xfId="0" applyFont="1" applyBorder="1" applyAlignment="1" applyProtection="1">
      <alignment horizontal="left" vertical="center"/>
      <protection/>
    </xf>
    <xf numFmtId="164" fontId="2" fillId="0" borderId="18" xfId="0" applyFont="1" applyBorder="1" applyAlignment="1" applyProtection="1">
      <alignment horizontal="left" vertical="center"/>
      <protection/>
    </xf>
    <xf numFmtId="168" fontId="0" fillId="0" borderId="18" xfId="0" applyNumberFormat="1" applyFont="1" applyBorder="1" applyAlignment="1" applyProtection="1">
      <alignment horizontal="right" vertical="center"/>
      <protection/>
    </xf>
    <xf numFmtId="167" fontId="0" fillId="0" borderId="19" xfId="0" applyNumberFormat="1" applyFont="1" applyBorder="1" applyAlignment="1" applyProtection="1">
      <alignment horizontal="right" vertical="center"/>
      <protection/>
    </xf>
    <xf numFmtId="164" fontId="11" fillId="0" borderId="19" xfId="0" applyFont="1" applyBorder="1" applyAlignment="1" applyProtection="1">
      <alignment horizontal="right" vertical="center"/>
      <protection/>
    </xf>
    <xf numFmtId="164" fontId="11" fillId="0" borderId="20" xfId="0" applyFont="1" applyBorder="1" applyAlignment="1" applyProtection="1">
      <alignment horizontal="left" vertical="center"/>
      <protection/>
    </xf>
    <xf numFmtId="164" fontId="2" fillId="0" borderId="21" xfId="0" applyFont="1" applyBorder="1" applyAlignment="1" applyProtection="1">
      <alignment horizontal="left" vertical="center"/>
      <protection/>
    </xf>
    <xf numFmtId="165" fontId="2" fillId="0" borderId="39" xfId="0" applyNumberFormat="1" applyFont="1" applyBorder="1" applyAlignment="1" applyProtection="1">
      <alignment horizontal="center" vertical="center"/>
      <protection/>
    </xf>
    <xf numFmtId="167" fontId="0" fillId="0" borderId="18" xfId="0" applyNumberFormat="1" applyFont="1" applyBorder="1" applyAlignment="1" applyProtection="1">
      <alignment horizontal="right" vertical="center"/>
      <protection/>
    </xf>
    <xf numFmtId="169" fontId="0" fillId="0" borderId="0" xfId="0" applyNumberFormat="1" applyAlignment="1" applyProtection="1">
      <alignment horizontal="left" vertical="top"/>
      <protection/>
    </xf>
    <xf numFmtId="164" fontId="10" fillId="0" borderId="18" xfId="0" applyFont="1" applyBorder="1" applyAlignment="1" applyProtection="1">
      <alignment horizontal="left" vertical="center"/>
      <protection/>
    </xf>
    <xf numFmtId="168" fontId="8" fillId="0" borderId="24" xfId="0" applyNumberFormat="1" applyFont="1" applyBorder="1" applyAlignment="1" applyProtection="1">
      <alignment horizontal="right" vertical="center"/>
      <protection/>
    </xf>
    <xf numFmtId="168" fontId="0" fillId="0" borderId="24" xfId="0" applyNumberFormat="1" applyFont="1" applyBorder="1" applyAlignment="1" applyProtection="1">
      <alignment horizontal="right" vertical="center"/>
      <protection/>
    </xf>
    <xf numFmtId="167" fontId="0" fillId="0" borderId="26" xfId="0" applyNumberFormat="1" applyFont="1" applyBorder="1" applyAlignment="1" applyProtection="1">
      <alignment horizontal="right" vertical="center"/>
      <protection/>
    </xf>
    <xf numFmtId="164" fontId="2" fillId="0" borderId="40" xfId="0" applyFont="1" applyBorder="1" applyAlignment="1" applyProtection="1">
      <alignment horizontal="left" vertical="center"/>
      <protection/>
    </xf>
    <xf numFmtId="165" fontId="2" fillId="0" borderId="41" xfId="0" applyNumberFormat="1" applyFont="1" applyBorder="1" applyAlignment="1" applyProtection="1">
      <alignment horizontal="center" vertical="center"/>
      <protection/>
    </xf>
    <xf numFmtId="164" fontId="2" fillId="0" borderId="35" xfId="0" applyFont="1" applyBorder="1" applyAlignment="1" applyProtection="1">
      <alignment horizontal="left" vertical="center"/>
      <protection/>
    </xf>
    <xf numFmtId="164" fontId="2" fillId="0" borderId="33" xfId="0" applyFont="1" applyBorder="1" applyAlignment="1" applyProtection="1">
      <alignment horizontal="left" vertical="center"/>
      <protection/>
    </xf>
    <xf numFmtId="164" fontId="2" fillId="0" borderId="34" xfId="0" applyFont="1" applyBorder="1" applyAlignment="1" applyProtection="1">
      <alignment horizontal="left" vertical="center"/>
      <protection/>
    </xf>
    <xf numFmtId="168" fontId="8" fillId="0" borderId="42" xfId="0" applyNumberFormat="1" applyFont="1" applyBorder="1" applyAlignment="1" applyProtection="1">
      <alignment horizontal="right" vertical="center"/>
      <protection/>
    </xf>
    <xf numFmtId="168" fontId="8" fillId="0" borderId="25" xfId="0" applyNumberFormat="1" applyFont="1" applyBorder="1" applyAlignment="1" applyProtection="1">
      <alignment horizontal="right" vertical="center"/>
      <protection/>
    </xf>
    <xf numFmtId="167" fontId="12" fillId="0" borderId="5" xfId="0" applyNumberFormat="1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left" vertical="top"/>
      <protection/>
    </xf>
    <xf numFmtId="164" fontId="2" fillId="0" borderId="43" xfId="0" applyFont="1" applyBorder="1" applyAlignment="1" applyProtection="1">
      <alignment horizontal="left" vertical="center"/>
      <protection/>
    </xf>
    <xf numFmtId="164" fontId="2" fillId="0" borderId="44" xfId="0" applyFont="1" applyBorder="1" applyAlignment="1" applyProtection="1">
      <alignment horizontal="left" vertical="center"/>
      <protection/>
    </xf>
    <xf numFmtId="164" fontId="2" fillId="0" borderId="13" xfId="0" applyFont="1" applyBorder="1" applyAlignment="1" applyProtection="1">
      <alignment horizontal="left" vertical="center"/>
      <protection/>
    </xf>
    <xf numFmtId="170" fontId="13" fillId="0" borderId="26" xfId="0" applyNumberFormat="1" applyFont="1" applyBorder="1" applyAlignment="1" applyProtection="1">
      <alignment horizontal="right" vertical="center"/>
      <protection/>
    </xf>
    <xf numFmtId="164" fontId="2" fillId="0" borderId="45" xfId="0" applyFont="1" applyBorder="1" applyAlignment="1" applyProtection="1">
      <alignment horizontal="left"/>
      <protection/>
    </xf>
    <xf numFmtId="164" fontId="2" fillId="0" borderId="21" xfId="0" applyFont="1" applyBorder="1" applyAlignment="1" applyProtection="1">
      <alignment horizontal="left"/>
      <protection/>
    </xf>
    <xf numFmtId="167" fontId="3" fillId="0" borderId="21" xfId="0" applyNumberFormat="1" applyFont="1" applyBorder="1" applyAlignment="1" applyProtection="1">
      <alignment horizontal="right" vertical="center"/>
      <protection/>
    </xf>
    <xf numFmtId="168" fontId="3" fillId="0" borderId="18" xfId="0" applyNumberFormat="1" applyFont="1" applyBorder="1" applyAlignment="1" applyProtection="1">
      <alignment horizontal="right" vertical="center"/>
      <protection/>
    </xf>
    <xf numFmtId="168" fontId="8" fillId="0" borderId="21" xfId="0" applyNumberFormat="1" applyFont="1" applyBorder="1" applyAlignment="1" applyProtection="1">
      <alignment horizontal="right" vertical="center"/>
      <protection/>
    </xf>
    <xf numFmtId="170" fontId="13" fillId="0" borderId="46" xfId="0" applyNumberFormat="1" applyFont="1" applyBorder="1" applyAlignment="1" applyProtection="1">
      <alignment horizontal="right" vertical="center"/>
      <protection/>
    </xf>
    <xf numFmtId="164" fontId="7" fillId="0" borderId="47" xfId="0" applyFont="1" applyBorder="1" applyAlignment="1" applyProtection="1">
      <alignment horizontal="left" vertical="top"/>
      <protection/>
    </xf>
    <xf numFmtId="164" fontId="2" fillId="0" borderId="9" xfId="0" applyFont="1" applyBorder="1" applyAlignment="1" applyProtection="1">
      <alignment horizontal="left" vertical="center"/>
      <protection/>
    </xf>
    <xf numFmtId="167" fontId="3" fillId="0" borderId="18" xfId="0" applyNumberFormat="1" applyFont="1" applyBorder="1" applyAlignment="1" applyProtection="1">
      <alignment horizontal="right" vertical="center"/>
      <protection/>
    </xf>
    <xf numFmtId="170" fontId="13" fillId="0" borderId="38" xfId="0" applyNumberFormat="1" applyFont="1" applyBorder="1" applyAlignment="1" applyProtection="1">
      <alignment horizontal="right" vertical="center"/>
      <protection/>
    </xf>
    <xf numFmtId="164" fontId="7" fillId="0" borderId="35" xfId="0" applyFont="1" applyBorder="1" applyAlignment="1" applyProtection="1">
      <alignment horizontal="left" vertical="center"/>
      <protection/>
    </xf>
    <xf numFmtId="164" fontId="2" fillId="0" borderId="48" xfId="0" applyFont="1" applyBorder="1" applyAlignment="1" applyProtection="1">
      <alignment horizontal="left" vertical="center"/>
      <protection/>
    </xf>
    <xf numFmtId="168" fontId="4" fillId="0" borderId="49" xfId="0" applyNumberFormat="1" applyFont="1" applyBorder="1" applyAlignment="1" applyProtection="1">
      <alignment horizontal="right" vertical="center"/>
      <protection/>
    </xf>
    <xf numFmtId="164" fontId="2" fillId="0" borderId="50" xfId="0" applyFont="1" applyBorder="1" applyAlignment="1" applyProtection="1">
      <alignment horizontal="left" vertical="center"/>
      <protection/>
    </xf>
    <xf numFmtId="164" fontId="0" fillId="0" borderId="28" xfId="0" applyFont="1" applyBorder="1" applyAlignment="1" applyProtection="1">
      <alignment horizontal="left" vertical="center"/>
      <protection/>
    </xf>
    <xf numFmtId="164" fontId="2" fillId="0" borderId="4" xfId="0" applyFont="1" applyBorder="1" applyAlignment="1" applyProtection="1">
      <alignment horizontal="left"/>
      <protection/>
    </xf>
    <xf numFmtId="164" fontId="2" fillId="0" borderId="51" xfId="0" applyFont="1" applyBorder="1" applyAlignment="1" applyProtection="1">
      <alignment horizontal="left" vertical="center"/>
      <protection/>
    </xf>
    <xf numFmtId="164" fontId="2" fillId="0" borderId="42" xfId="0" applyFont="1" applyBorder="1" applyAlignment="1" applyProtection="1">
      <alignment horizontal="left"/>
      <protection/>
    </xf>
    <xf numFmtId="164" fontId="2" fillId="0" borderId="36" xfId="0" applyFont="1" applyBorder="1" applyAlignment="1" applyProtection="1">
      <alignment horizontal="left" vertical="center"/>
      <protection/>
    </xf>
    <xf numFmtId="164" fontId="14" fillId="2" borderId="0" xfId="0" applyFont="1" applyFill="1" applyAlignment="1" applyProtection="1">
      <alignment horizontal="left"/>
      <protection/>
    </xf>
    <xf numFmtId="164" fontId="6" fillId="2" borderId="0" xfId="0" applyFont="1" applyFill="1" applyAlignment="1" applyProtection="1">
      <alignment horizontal="left"/>
      <protection/>
    </xf>
    <xf numFmtId="164" fontId="15" fillId="2" borderId="0" xfId="0" applyFont="1" applyFill="1" applyAlignment="1" applyProtection="1">
      <alignment horizontal="left" vertical="center"/>
      <protection/>
    </xf>
    <xf numFmtId="164" fontId="3" fillId="2" borderId="0" xfId="0" applyFont="1" applyFill="1" applyAlignment="1" applyProtection="1">
      <alignment horizontal="left" vertical="center"/>
      <protection/>
    </xf>
    <xf numFmtId="164" fontId="6" fillId="2" borderId="0" xfId="0" applyFont="1" applyFill="1" applyAlignment="1" applyProtection="1">
      <alignment horizontal="left" vertical="center"/>
      <protection/>
    </xf>
    <xf numFmtId="164" fontId="3" fillId="2" borderId="0" xfId="0" applyFont="1" applyFill="1" applyAlignment="1" applyProtection="1">
      <alignment horizontal="center" vertical="center"/>
      <protection/>
    </xf>
    <xf numFmtId="164" fontId="0" fillId="2" borderId="0" xfId="0" applyFont="1" applyFill="1" applyAlignment="1" applyProtection="1">
      <alignment horizontal="left" vertical="center"/>
      <protection/>
    </xf>
    <xf numFmtId="171" fontId="3" fillId="2" borderId="0" xfId="0" applyNumberFormat="1" applyFont="1" applyFill="1" applyAlignment="1" applyProtection="1">
      <alignment horizontal="left" vertical="center"/>
      <protection/>
    </xf>
    <xf numFmtId="164" fontId="3" fillId="3" borderId="52" xfId="0" applyFont="1" applyFill="1" applyBorder="1" applyAlignment="1" applyProtection="1">
      <alignment horizontal="center" vertical="center" wrapText="1"/>
      <protection/>
    </xf>
    <xf numFmtId="164" fontId="3" fillId="3" borderId="53" xfId="0" applyFont="1" applyFill="1" applyBorder="1" applyAlignment="1" applyProtection="1">
      <alignment horizontal="center" vertical="center" wrapText="1"/>
      <protection/>
    </xf>
    <xf numFmtId="164" fontId="3" fillId="3" borderId="54" xfId="0" applyFont="1" applyFill="1" applyBorder="1" applyAlignment="1" applyProtection="1">
      <alignment horizontal="center" vertical="center" wrapText="1"/>
      <protection/>
    </xf>
    <xf numFmtId="164" fontId="3" fillId="3" borderId="29" xfId="0" applyFont="1" applyFill="1" applyBorder="1" applyAlignment="1" applyProtection="1">
      <alignment horizontal="center" vertical="center" wrapText="1"/>
      <protection/>
    </xf>
    <xf numFmtId="165" fontId="3" fillId="3" borderId="41" xfId="0" applyNumberFormat="1" applyFont="1" applyFill="1" applyBorder="1" applyAlignment="1" applyProtection="1">
      <alignment horizontal="center" vertical="center"/>
      <protection/>
    </xf>
    <xf numFmtId="165" fontId="3" fillId="3" borderId="55" xfId="0" applyNumberFormat="1" applyFont="1" applyFill="1" applyBorder="1" applyAlignment="1" applyProtection="1">
      <alignment horizontal="center" vertical="center"/>
      <protection/>
    </xf>
    <xf numFmtId="165" fontId="3" fillId="3" borderId="56" xfId="0" applyNumberFormat="1" applyFont="1" applyFill="1" applyBorder="1" applyAlignment="1" applyProtection="1">
      <alignment horizontal="center" vertical="center"/>
      <protection/>
    </xf>
    <xf numFmtId="165" fontId="3" fillId="3" borderId="34" xfId="0" applyNumberFormat="1" applyFont="1" applyFill="1" applyBorder="1" applyAlignment="1" applyProtection="1">
      <alignment horizontal="center" vertical="center"/>
      <protection/>
    </xf>
    <xf numFmtId="164" fontId="0" fillId="2" borderId="24" xfId="0" applyFont="1" applyFill="1" applyBorder="1" applyAlignment="1" applyProtection="1">
      <alignment horizontal="left"/>
      <protection/>
    </xf>
    <xf numFmtId="164" fontId="0" fillId="2" borderId="25" xfId="0" applyFont="1" applyFill="1" applyBorder="1" applyAlignment="1" applyProtection="1">
      <alignment horizontal="left"/>
      <protection/>
    </xf>
    <xf numFmtId="164" fontId="0" fillId="2" borderId="26" xfId="0" applyFont="1" applyFill="1" applyBorder="1" applyAlignment="1" applyProtection="1">
      <alignment horizontal="left"/>
      <protection/>
    </xf>
    <xf numFmtId="164" fontId="16" fillId="0" borderId="0" xfId="0" applyFont="1" applyAlignment="1" applyProtection="1">
      <alignment horizontal="center" vertical="center"/>
      <protection/>
    </xf>
    <xf numFmtId="164" fontId="16" fillId="0" borderId="0" xfId="0" applyFont="1" applyAlignment="1" applyProtection="1">
      <alignment horizontal="lef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172" fontId="16" fillId="0" borderId="0" xfId="0" applyNumberFormat="1" applyFont="1" applyAlignment="1" applyProtection="1">
      <alignment horizontal="right" vertical="center"/>
      <protection/>
    </xf>
    <xf numFmtId="164" fontId="10" fillId="0" borderId="0" xfId="0" applyFont="1" applyAlignment="1" applyProtection="1">
      <alignment horizontal="left" vertical="center"/>
      <protection/>
    </xf>
    <xf numFmtId="164" fontId="17" fillId="0" borderId="0" xfId="0" applyFont="1" applyAlignment="1" applyProtection="1">
      <alignment horizontal="center" vertical="center"/>
      <protection/>
    </xf>
    <xf numFmtId="164" fontId="17" fillId="0" borderId="0" xfId="0" applyFont="1" applyAlignment="1" applyProtection="1">
      <alignment horizontal="lef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172" fontId="17" fillId="0" borderId="0" xfId="0" applyNumberFormat="1" applyFont="1" applyAlignment="1" applyProtection="1">
      <alignment horizontal="right" vertical="center"/>
      <protection/>
    </xf>
    <xf numFmtId="164" fontId="18" fillId="0" borderId="0" xfId="0" applyFont="1" applyAlignment="1" applyProtection="1">
      <alignment horizontal="center" vertical="center"/>
      <protection/>
    </xf>
    <xf numFmtId="164" fontId="18" fillId="0" borderId="0" xfId="0" applyFont="1" applyAlignment="1" applyProtection="1">
      <alignment horizontal="left" vertical="center"/>
      <protection/>
    </xf>
    <xf numFmtId="168" fontId="18" fillId="0" borderId="0" xfId="0" applyNumberFormat="1" applyFont="1" applyAlignment="1" applyProtection="1">
      <alignment horizontal="right" vertical="center"/>
      <protection/>
    </xf>
    <xf numFmtId="172" fontId="18" fillId="0" borderId="0" xfId="0" applyNumberFormat="1" applyFont="1" applyAlignment="1" applyProtection="1">
      <alignment horizontal="right" vertical="center"/>
      <protection/>
    </xf>
    <xf numFmtId="164" fontId="19" fillId="0" borderId="0" xfId="0" applyFont="1" applyAlignment="1" applyProtection="1">
      <alignment horizontal="left" vertical="center"/>
      <protection/>
    </xf>
    <xf numFmtId="164" fontId="20" fillId="0" borderId="0" xfId="0" applyFont="1" applyAlignment="1" applyProtection="1">
      <alignment horizontal="left" vertical="center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172" fontId="20" fillId="0" borderId="0" xfId="0" applyNumberFormat="1" applyFont="1" applyAlignment="1" applyProtection="1">
      <alignment horizontal="right" vertical="center"/>
      <protection/>
    </xf>
    <xf numFmtId="164" fontId="0" fillId="0" borderId="0" xfId="0" applyAlignment="1" applyProtection="1">
      <alignment horizontal="right" vertical="top"/>
      <protection/>
    </xf>
    <xf numFmtId="164" fontId="3" fillId="2" borderId="0" xfId="0" applyFont="1" applyFill="1" applyAlignment="1" applyProtection="1">
      <alignment horizontal="left"/>
      <protection/>
    </xf>
    <xf numFmtId="164" fontId="2" fillId="2" borderId="0" xfId="0" applyFont="1" applyFill="1" applyAlignment="1" applyProtection="1">
      <alignment horizontal="left"/>
      <protection/>
    </xf>
    <xf numFmtId="164" fontId="2" fillId="3" borderId="29" xfId="0" applyFont="1" applyFill="1" applyBorder="1" applyAlignment="1" applyProtection="1">
      <alignment horizontal="center" vertical="center" wrapText="1"/>
      <protection/>
    </xf>
    <xf numFmtId="164" fontId="2" fillId="3" borderId="30" xfId="0" applyFont="1" applyFill="1" applyBorder="1" applyAlignment="1" applyProtection="1">
      <alignment horizontal="center" vertical="center" wrapText="1"/>
      <protection/>
    </xf>
    <xf numFmtId="164" fontId="3" fillId="3" borderId="30" xfId="0" applyFont="1" applyFill="1" applyBorder="1" applyAlignment="1" applyProtection="1">
      <alignment horizontal="center" vertical="center" wrapText="1"/>
      <protection/>
    </xf>
    <xf numFmtId="164" fontId="2" fillId="0" borderId="7" xfId="0" applyFont="1" applyBorder="1" applyAlignment="1" applyProtection="1">
      <alignment horizontal="center" vertical="center"/>
      <protection/>
    </xf>
    <xf numFmtId="164" fontId="2" fillId="0" borderId="0" xfId="0" applyFont="1" applyAlignment="1" applyProtection="1">
      <alignment horizontal="center" vertical="center"/>
      <protection/>
    </xf>
    <xf numFmtId="165" fontId="2" fillId="3" borderId="34" xfId="0" applyNumberFormat="1" applyFont="1" applyFill="1" applyBorder="1" applyAlignment="1" applyProtection="1">
      <alignment horizontal="center" vertical="center"/>
      <protection/>
    </xf>
    <xf numFmtId="165" fontId="2" fillId="3" borderId="35" xfId="0" applyNumberFormat="1" applyFont="1" applyFill="1" applyBorder="1" applyAlignment="1" applyProtection="1">
      <alignment horizontal="center" vertical="center"/>
      <protection/>
    </xf>
    <xf numFmtId="165" fontId="3" fillId="3" borderId="35" xfId="0" applyNumberFormat="1" applyFont="1" applyFill="1" applyBorder="1" applyAlignment="1" applyProtection="1">
      <alignment horizontal="center" vertical="center"/>
      <protection/>
    </xf>
    <xf numFmtId="164" fontId="2" fillId="0" borderId="7" xfId="0" applyFont="1" applyBorder="1" applyAlignment="1" applyProtection="1">
      <alignment horizontal="right"/>
      <protection/>
    </xf>
    <xf numFmtId="164" fontId="2" fillId="2" borderId="12" xfId="0" applyFont="1" applyFill="1" applyBorder="1" applyAlignment="1" applyProtection="1">
      <alignment horizontal="left"/>
      <protection/>
    </xf>
    <xf numFmtId="164" fontId="16" fillId="0" borderId="2" xfId="0" applyFont="1" applyBorder="1" applyAlignment="1" applyProtection="1">
      <alignment horizontal="left" vertical="center"/>
      <protection/>
    </xf>
    <xf numFmtId="164" fontId="16" fillId="0" borderId="2" xfId="0" applyFont="1" applyBorder="1" applyAlignment="1" applyProtection="1">
      <alignment horizontal="center" vertical="center"/>
      <protection/>
    </xf>
    <xf numFmtId="168" fontId="16" fillId="0" borderId="2" xfId="0" applyNumberFormat="1" applyFont="1" applyBorder="1" applyAlignment="1" applyProtection="1">
      <alignment horizontal="right" vertical="center"/>
      <protection/>
    </xf>
    <xf numFmtId="172" fontId="16" fillId="0" borderId="2" xfId="0" applyNumberFormat="1" applyFont="1" applyBorder="1" applyAlignment="1" applyProtection="1">
      <alignment horizontal="right" vertical="center"/>
      <protection/>
    </xf>
    <xf numFmtId="164" fontId="10" fillId="0" borderId="0" xfId="0" applyFont="1" applyAlignment="1" applyProtection="1">
      <alignment horizontal="right" vertical="center"/>
      <protection/>
    </xf>
    <xf numFmtId="164" fontId="17" fillId="0" borderId="0" xfId="0" applyFont="1" applyFill="1" applyAlignment="1" applyProtection="1">
      <alignment horizontal="left" vertical="center"/>
      <protection/>
    </xf>
    <xf numFmtId="173" fontId="10" fillId="0" borderId="0" xfId="0" applyNumberFormat="1" applyFont="1" applyAlignment="1" applyProtection="1">
      <alignment horizontal="right" vertical="center"/>
      <protection/>
    </xf>
    <xf numFmtId="164" fontId="2" fillId="0" borderId="57" xfId="0" applyFont="1" applyBorder="1" applyAlignment="1" applyProtection="1">
      <alignment horizontal="center" vertical="center"/>
      <protection/>
    </xf>
    <xf numFmtId="166" fontId="2" fillId="0" borderId="57" xfId="0" applyNumberFormat="1" applyFont="1" applyBorder="1" applyAlignment="1" applyProtection="1">
      <alignment horizontal="left" vertical="top"/>
      <protection/>
    </xf>
    <xf numFmtId="164" fontId="2" fillId="0" borderId="57" xfId="0" applyFont="1" applyFill="1" applyBorder="1" applyAlignment="1" applyProtection="1">
      <alignment horizontal="left" vertical="center" wrapText="1"/>
      <protection/>
    </xf>
    <xf numFmtId="172" fontId="2" fillId="0" borderId="57" xfId="0" applyNumberFormat="1" applyFont="1" applyBorder="1" applyAlignment="1" applyProtection="1">
      <alignment horizontal="right" vertical="center"/>
      <protection/>
    </xf>
    <xf numFmtId="168" fontId="2" fillId="0" borderId="57" xfId="0" applyNumberFormat="1" applyFont="1" applyBorder="1" applyAlignment="1" applyProtection="1">
      <alignment horizontal="right" vertical="center"/>
      <protection/>
    </xf>
    <xf numFmtId="174" fontId="2" fillId="0" borderId="0" xfId="0" applyNumberFormat="1" applyFont="1" applyAlignment="1" applyProtection="1">
      <alignment horizontal="right" vertical="center"/>
      <protection/>
    </xf>
    <xf numFmtId="172" fontId="2" fillId="0" borderId="0" xfId="0" applyNumberFormat="1" applyFont="1" applyAlignment="1" applyProtection="1">
      <alignment horizontal="right" vertical="center"/>
      <protection/>
    </xf>
    <xf numFmtId="175" fontId="2" fillId="0" borderId="0" xfId="0" applyNumberFormat="1" applyFont="1" applyAlignment="1" applyProtection="1">
      <alignment horizontal="right" vertical="center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4" fontId="2" fillId="0" borderId="57" xfId="0" applyFont="1" applyBorder="1" applyAlignment="1" applyProtection="1">
      <alignment horizontal="right" vertical="center"/>
      <protection/>
    </xf>
    <xf numFmtId="166" fontId="2" fillId="0" borderId="57" xfId="0" applyNumberFormat="1" applyFont="1" applyBorder="1" applyAlignment="1" applyProtection="1">
      <alignment horizontal="left" vertical="top"/>
      <protection/>
    </xf>
    <xf numFmtId="164" fontId="2" fillId="0" borderId="57" xfId="0" applyFont="1" applyFill="1" applyBorder="1" applyAlignment="1" applyProtection="1">
      <alignment horizontal="left" vertical="center" wrapText="1"/>
      <protection/>
    </xf>
    <xf numFmtId="164" fontId="2" fillId="0" borderId="57" xfId="0" applyFont="1" applyBorder="1" applyAlignment="1" applyProtection="1">
      <alignment horizontal="center" vertical="center"/>
      <protection/>
    </xf>
    <xf numFmtId="172" fontId="2" fillId="0" borderId="57" xfId="0" applyNumberFormat="1" applyFont="1" applyFill="1" applyBorder="1" applyAlignment="1" applyProtection="1">
      <alignment horizontal="right" vertical="center"/>
      <protection/>
    </xf>
    <xf numFmtId="166" fontId="2" fillId="0" borderId="57" xfId="0" applyNumberFormat="1" applyFont="1" applyBorder="1" applyAlignment="1" applyProtection="1">
      <alignment horizontal="left" vertical="top" wrapText="1"/>
      <protection/>
    </xf>
    <xf numFmtId="164" fontId="2" fillId="0" borderId="0" xfId="0" applyFont="1" applyAlignment="1" applyProtection="1">
      <alignment horizontal="right" vertical="center"/>
      <protection/>
    </xf>
    <xf numFmtId="173" fontId="10" fillId="0" borderId="0" xfId="0" applyNumberFormat="1" applyFont="1" applyAlignment="1" applyProtection="1">
      <alignment horizontal="right" vertical="center"/>
      <protection/>
    </xf>
    <xf numFmtId="166" fontId="2" fillId="0" borderId="57" xfId="0" applyNumberFormat="1" applyFont="1" applyFill="1" applyBorder="1" applyAlignment="1" applyProtection="1">
      <alignment horizontal="left" vertical="center" wrapText="1"/>
      <protection/>
    </xf>
    <xf numFmtId="168" fontId="2" fillId="0" borderId="57" xfId="0" applyNumberFormat="1" applyFont="1" applyFill="1" applyBorder="1" applyAlignment="1" applyProtection="1">
      <alignment horizontal="right" vertical="center"/>
      <protection/>
    </xf>
    <xf numFmtId="164" fontId="2" fillId="0" borderId="57" xfId="0" applyFont="1" applyBorder="1" applyAlignment="1" applyProtection="1">
      <alignment horizontal="left" vertical="center"/>
      <protection/>
    </xf>
    <xf numFmtId="166" fontId="2" fillId="0" borderId="57" xfId="0" applyNumberFormat="1" applyFont="1" applyFill="1" applyBorder="1" applyAlignment="1" applyProtection="1">
      <alignment horizontal="left" vertical="center"/>
      <protection/>
    </xf>
    <xf numFmtId="166" fontId="2" fillId="0" borderId="57" xfId="0" applyNumberFormat="1" applyFont="1" applyBorder="1" applyAlignment="1" applyProtection="1">
      <alignment horizontal="left" vertical="center" wrapText="1"/>
      <protection/>
    </xf>
    <xf numFmtId="166" fontId="2" fillId="0" borderId="57" xfId="0" applyNumberFormat="1" applyFont="1" applyBorder="1" applyAlignment="1" applyProtection="1">
      <alignment horizontal="left" vertical="center" wrapText="1"/>
      <protection/>
    </xf>
    <xf numFmtId="164" fontId="22" fillId="0" borderId="57" xfId="0" applyFont="1" applyBorder="1" applyAlignment="1" applyProtection="1">
      <alignment horizontal="left" vertical="center" wrapText="1"/>
      <protection/>
    </xf>
    <xf numFmtId="164" fontId="22" fillId="0" borderId="57" xfId="0" applyFont="1" applyFill="1" applyBorder="1" applyAlignment="1" applyProtection="1">
      <alignment horizontal="left" vertical="center" wrapText="1"/>
      <protection/>
    </xf>
    <xf numFmtId="172" fontId="22" fillId="0" borderId="57" xfId="0" applyNumberFormat="1" applyFont="1" applyBorder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4" fontId="22" fillId="0" borderId="0" xfId="0" applyFont="1" applyAlignment="1" applyProtection="1">
      <alignment horizontal="left" vertical="center"/>
      <protection/>
    </xf>
    <xf numFmtId="166" fontId="2" fillId="0" borderId="57" xfId="0" applyNumberFormat="1" applyFont="1" applyBorder="1" applyAlignment="1" applyProtection="1">
      <alignment horizontal="left" vertical="center"/>
      <protection/>
    </xf>
    <xf numFmtId="164" fontId="2" fillId="0" borderId="0" xfId="0" applyFont="1" applyAlignment="1" applyProtection="1">
      <alignment horizontal="center" vertical="center"/>
      <protection/>
    </xf>
    <xf numFmtId="166" fontId="2" fillId="0" borderId="0" xfId="0" applyNumberFormat="1" applyFont="1" applyAlignment="1" applyProtection="1">
      <alignment horizontal="left" vertical="top"/>
      <protection/>
    </xf>
    <xf numFmtId="164" fontId="2" fillId="0" borderId="0" xfId="0" applyFont="1" applyFill="1" applyAlignment="1" applyProtection="1">
      <alignment horizontal="left" vertical="center" wrapText="1"/>
      <protection/>
    </xf>
    <xf numFmtId="166" fontId="2" fillId="0" borderId="57" xfId="0" applyNumberFormat="1" applyFont="1" applyBorder="1" applyAlignment="1" applyProtection="1">
      <alignment horizontal="left" wrapText="1"/>
      <protection/>
    </xf>
    <xf numFmtId="164" fontId="2" fillId="0" borderId="57" xfId="0" applyFont="1" applyBorder="1" applyAlignment="1" applyProtection="1">
      <alignment horizontal="left" vertical="center" wrapText="1"/>
      <protection/>
    </xf>
    <xf numFmtId="166" fontId="2" fillId="0" borderId="57" xfId="0" applyNumberFormat="1" applyFont="1" applyFill="1" applyBorder="1" applyAlignment="1" applyProtection="1">
      <alignment horizontal="left" wrapText="1"/>
      <protection/>
    </xf>
    <xf numFmtId="166" fontId="2" fillId="0" borderId="57" xfId="0" applyNumberFormat="1" applyFont="1" applyFill="1" applyBorder="1" applyAlignment="1" applyProtection="1">
      <alignment horizontal="left" vertical="top"/>
      <protection/>
    </xf>
    <xf numFmtId="166" fontId="2" fillId="0" borderId="57" xfId="0" applyNumberFormat="1" applyFont="1" applyBorder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6" fontId="2" fillId="0" borderId="0" xfId="0" applyNumberFormat="1" applyFont="1" applyFill="1" applyBorder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horizontal="left" vertical="center" wrapText="1"/>
      <protection/>
    </xf>
    <xf numFmtId="172" fontId="2" fillId="0" borderId="0" xfId="0" applyNumberFormat="1" applyFont="1" applyFill="1" applyBorder="1" applyAlignment="1" applyProtection="1">
      <alignment horizontal="right" vertical="center"/>
      <protection/>
    </xf>
    <xf numFmtId="168" fontId="2" fillId="0" borderId="0" xfId="0" applyNumberFormat="1" applyFont="1" applyFill="1" applyBorder="1" applyAlignment="1" applyProtection="1">
      <alignment horizontal="right" vertical="center"/>
      <protection/>
    </xf>
    <xf numFmtId="174" fontId="2" fillId="0" borderId="0" xfId="0" applyNumberFormat="1" applyFont="1" applyFill="1" applyAlignment="1" applyProtection="1">
      <alignment horizontal="right" vertical="center"/>
      <protection/>
    </xf>
    <xf numFmtId="172" fontId="2" fillId="0" borderId="0" xfId="0" applyNumberFormat="1" applyFont="1" applyFill="1" applyAlignment="1" applyProtection="1">
      <alignment horizontal="right" vertical="center"/>
      <protection/>
    </xf>
    <xf numFmtId="175" fontId="2" fillId="0" borderId="0" xfId="0" applyNumberFormat="1" applyFont="1" applyFill="1" applyAlignment="1" applyProtection="1">
      <alignment horizontal="right" vertical="center"/>
      <protection/>
    </xf>
    <xf numFmtId="167" fontId="2" fillId="0" borderId="0" xfId="0" applyNumberFormat="1" applyFont="1" applyFill="1" applyAlignment="1" applyProtection="1">
      <alignment horizontal="right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2" fillId="0" borderId="0" xfId="0" applyFont="1" applyFill="1" applyAlignment="1" applyProtection="1">
      <alignment horizontal="right" vertical="center"/>
      <protection/>
    </xf>
    <xf numFmtId="164" fontId="2" fillId="0" borderId="57" xfId="0" applyFont="1" applyBorder="1" applyAlignment="1" applyProtection="1">
      <alignment horizontal="left" vertical="center" wrapText="1"/>
      <protection/>
    </xf>
    <xf numFmtId="166" fontId="2" fillId="0" borderId="57" xfId="0" applyNumberFormat="1" applyFont="1" applyFill="1" applyBorder="1" applyAlignment="1" applyProtection="1">
      <alignment horizontal="left" vertical="top" wrapText="1"/>
      <protection/>
    </xf>
    <xf numFmtId="164" fontId="2" fillId="0" borderId="57" xfId="0" applyFont="1" applyFill="1" applyBorder="1" applyAlignment="1" applyProtection="1">
      <alignment horizontal="center" vertical="center"/>
      <protection/>
    </xf>
    <xf numFmtId="164" fontId="2" fillId="0" borderId="57" xfId="0" applyFont="1" applyFill="1" applyBorder="1" applyAlignment="1" applyProtection="1">
      <alignment horizontal="right" vertical="center"/>
      <protection/>
    </xf>
    <xf numFmtId="164" fontId="22" fillId="0" borderId="0" xfId="0" applyFont="1" applyAlignment="1" applyProtection="1">
      <alignment horizontal="left" vertical="center" wrapText="1"/>
      <protection/>
    </xf>
    <xf numFmtId="172" fontId="22" fillId="0" borderId="0" xfId="0" applyNumberFormat="1" applyFont="1" applyAlignment="1" applyProtection="1">
      <alignment horizontal="right" vertical="center"/>
      <protection/>
    </xf>
    <xf numFmtId="172" fontId="2" fillId="0" borderId="57" xfId="0" applyNumberFormat="1" applyFont="1" applyBorder="1" applyAlignment="1" applyProtection="1">
      <alignment horizontal="right" vertical="center"/>
      <protection/>
    </xf>
    <xf numFmtId="164" fontId="2" fillId="0" borderId="57" xfId="0" applyFont="1" applyBorder="1" applyAlignment="1" applyProtection="1">
      <alignment horizontal="left" vertical="center"/>
      <protection/>
    </xf>
    <xf numFmtId="168" fontId="2" fillId="0" borderId="57" xfId="0" applyNumberFormat="1" applyFont="1" applyFill="1" applyBorder="1" applyAlignment="1" applyProtection="1">
      <alignment horizontal="right" vertical="center"/>
      <protection/>
    </xf>
    <xf numFmtId="168" fontId="2" fillId="0" borderId="57" xfId="0" applyNumberFormat="1" applyFont="1" applyBorder="1" applyAlignment="1" applyProtection="1">
      <alignment horizontal="right" vertical="center"/>
      <protection/>
    </xf>
    <xf numFmtId="174" fontId="2" fillId="0" borderId="0" xfId="0" applyNumberFormat="1" applyFont="1" applyAlignment="1" applyProtection="1">
      <alignment horizontal="right" vertical="center"/>
      <protection/>
    </xf>
    <xf numFmtId="172" fontId="2" fillId="0" borderId="0" xfId="0" applyNumberFormat="1" applyFont="1" applyAlignment="1" applyProtection="1">
      <alignment horizontal="right" vertical="center"/>
      <protection/>
    </xf>
    <xf numFmtId="175" fontId="2" fillId="0" borderId="0" xfId="0" applyNumberFormat="1" applyFont="1" applyAlignment="1" applyProtection="1">
      <alignment horizontal="right" vertical="center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4" fontId="2" fillId="0" borderId="0" xfId="0" applyFont="1" applyAlignment="1" applyProtection="1">
      <alignment horizontal="left" vertical="center"/>
      <protection/>
    </xf>
    <xf numFmtId="164" fontId="2" fillId="0" borderId="0" xfId="0" applyFont="1" applyAlignment="1" applyProtection="1">
      <alignment horizontal="right" vertical="center"/>
      <protection/>
    </xf>
    <xf numFmtId="164" fontId="23" fillId="0" borderId="0" xfId="0" applyFont="1" applyAlignment="1" applyProtection="1">
      <alignment horizontal="center" vertical="center"/>
      <protection/>
    </xf>
    <xf numFmtId="164" fontId="23" fillId="0" borderId="0" xfId="0" applyFont="1" applyAlignment="1" applyProtection="1">
      <alignment horizontal="left" vertical="center"/>
      <protection/>
    </xf>
    <xf numFmtId="164" fontId="23" fillId="0" borderId="0" xfId="0" applyFont="1" applyAlignment="1" applyProtection="1">
      <alignment horizontal="left" vertical="center" wrapText="1"/>
      <protection/>
    </xf>
    <xf numFmtId="172" fontId="23" fillId="0" borderId="0" xfId="0" applyNumberFormat="1" applyFont="1" applyAlignment="1" applyProtection="1">
      <alignment horizontal="right" vertical="center"/>
      <protection/>
    </xf>
    <xf numFmtId="168" fontId="23" fillId="0" borderId="0" xfId="0" applyNumberFormat="1" applyFont="1" applyAlignment="1" applyProtection="1">
      <alignment horizontal="right" vertical="center"/>
      <protection/>
    </xf>
    <xf numFmtId="174" fontId="23" fillId="0" borderId="0" xfId="0" applyNumberFormat="1" applyFont="1" applyAlignment="1" applyProtection="1">
      <alignment horizontal="right" vertical="center"/>
      <protection/>
    </xf>
    <xf numFmtId="175" fontId="23" fillId="0" borderId="0" xfId="0" applyNumberFormat="1" applyFont="1" applyAlignment="1" applyProtection="1">
      <alignment horizontal="right" vertical="center"/>
      <protection/>
    </xf>
    <xf numFmtId="167" fontId="23" fillId="0" borderId="0" xfId="0" applyNumberFormat="1" applyFont="1" applyAlignment="1" applyProtection="1">
      <alignment horizontal="right" vertical="center"/>
      <protection/>
    </xf>
    <xf numFmtId="164" fontId="17" fillId="0" borderId="0" xfId="0" applyFont="1" applyAlignment="1" applyProtection="1">
      <alignment horizontal="left" vertical="center"/>
      <protection/>
    </xf>
    <xf numFmtId="166" fontId="2" fillId="0" borderId="57" xfId="0" applyNumberFormat="1" applyFont="1" applyBorder="1" applyAlignment="1" applyProtection="1">
      <alignment horizontal="left" wrapText="1"/>
      <protection/>
    </xf>
    <xf numFmtId="164" fontId="0" fillId="0" borderId="0" xfId="0" applyFont="1" applyAlignment="1" applyProtection="1">
      <alignment horizontal="left"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showGridLines="0" tabSelected="1" zoomScale="80" zoomScaleNormal="80" workbookViewId="0" topLeftCell="A1">
      <selection activeCell="O31" sqref="O31"/>
    </sheetView>
  </sheetViews>
  <sheetFormatPr defaultColWidth="9.140625" defaultRowHeight="12.75" customHeight="1"/>
  <cols>
    <col min="1" max="1" width="5.00390625" style="1" customWidth="1"/>
    <col min="2" max="2" width="1.8515625" style="1" customWidth="1"/>
    <col min="3" max="3" width="2.7109375" style="1" customWidth="1"/>
    <col min="4" max="4" width="8.421875" style="1" customWidth="1"/>
    <col min="5" max="5" width="13.57421875" style="1" customWidth="1"/>
    <col min="6" max="6" width="1.7109375" style="1" customWidth="1"/>
    <col min="7" max="7" width="5.00390625" style="1" customWidth="1"/>
    <col min="8" max="8" width="2.7109375" style="1" customWidth="1"/>
    <col min="9" max="9" width="11.140625" style="1" customWidth="1"/>
    <col min="10" max="10" width="13.57421875" style="1" customWidth="1"/>
    <col min="11" max="11" width="2.57421875" style="1" customWidth="1"/>
    <col min="12" max="12" width="4.57421875" style="1" customWidth="1"/>
    <col min="13" max="13" width="3.00390625" style="1" customWidth="1"/>
    <col min="14" max="14" width="2.57421875" style="1" customWidth="1"/>
    <col min="15" max="15" width="12.7109375" style="1" customWidth="1"/>
    <col min="16" max="17" width="2.8515625" style="1" customWidth="1"/>
    <col min="18" max="18" width="13.57421875" style="1" customWidth="1"/>
    <col min="19" max="19" width="0.5625" style="1" customWidth="1"/>
    <col min="20" max="20" width="9.140625" style="1" customWidth="1"/>
    <col min="21" max="21" width="10.7109375" style="1" customWidth="1"/>
    <col min="22" max="16384" width="9.140625" style="1" customWidth="1"/>
  </cols>
  <sheetData>
    <row r="1" spans="1:19" ht="12" customHeight="1" hidden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2"/>
      <c r="B2" s="3"/>
      <c r="C2" s="3"/>
      <c r="D2" s="3"/>
      <c r="E2" s="3"/>
      <c r="F2" s="3"/>
      <c r="G2" s="5" t="s">
        <v>0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2" customHeight="1" hidden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19" ht="8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24" customHeight="1">
      <c r="A5" s="12"/>
      <c r="B5" s="13" t="s">
        <v>1</v>
      </c>
      <c r="C5" s="13"/>
      <c r="D5" s="13"/>
      <c r="E5" s="14" t="s">
        <v>2</v>
      </c>
      <c r="F5" s="14"/>
      <c r="G5" s="14"/>
      <c r="H5" s="14"/>
      <c r="I5" s="14"/>
      <c r="J5" s="14"/>
      <c r="K5" s="13"/>
      <c r="L5" s="13"/>
      <c r="M5" s="13"/>
      <c r="N5" s="13"/>
      <c r="O5" s="13" t="s">
        <v>3</v>
      </c>
      <c r="P5" s="15" t="s">
        <v>4</v>
      </c>
      <c r="Q5" s="16"/>
      <c r="R5" s="17"/>
      <c r="S5" s="18"/>
    </row>
    <row r="6" spans="1:19" ht="17.25" customHeight="1" hidden="1">
      <c r="A6" s="12"/>
      <c r="B6" s="13" t="s">
        <v>5</v>
      </c>
      <c r="C6" s="13"/>
      <c r="D6" s="13"/>
      <c r="E6" s="19" t="s">
        <v>6</v>
      </c>
      <c r="F6" s="13"/>
      <c r="G6" s="13"/>
      <c r="H6" s="13"/>
      <c r="I6" s="13"/>
      <c r="J6" s="20"/>
      <c r="K6" s="13"/>
      <c r="L6" s="13"/>
      <c r="M6" s="13"/>
      <c r="N6" s="13"/>
      <c r="O6" s="13"/>
      <c r="P6" s="21"/>
      <c r="Q6" s="22"/>
      <c r="R6" s="20"/>
      <c r="S6" s="18"/>
    </row>
    <row r="7" spans="1:19" ht="24" customHeight="1">
      <c r="A7" s="12"/>
      <c r="B7" s="13" t="s">
        <v>7</v>
      </c>
      <c r="C7" s="13"/>
      <c r="D7" s="13"/>
      <c r="E7" s="23" t="s">
        <v>8</v>
      </c>
      <c r="F7" s="23"/>
      <c r="G7" s="23"/>
      <c r="H7" s="23"/>
      <c r="I7" s="23"/>
      <c r="J7" s="23"/>
      <c r="K7" s="13"/>
      <c r="L7" s="13"/>
      <c r="M7" s="13"/>
      <c r="N7" s="13"/>
      <c r="O7" s="13" t="s">
        <v>9</v>
      </c>
      <c r="P7" s="24"/>
      <c r="Q7" s="22"/>
      <c r="R7" s="20"/>
      <c r="S7" s="18"/>
    </row>
    <row r="8" spans="1:19" ht="17.25" customHeight="1" hidden="1">
      <c r="A8" s="12"/>
      <c r="B8" s="13" t="s">
        <v>10</v>
      </c>
      <c r="C8" s="13"/>
      <c r="D8" s="13"/>
      <c r="E8" s="25" t="s">
        <v>4</v>
      </c>
      <c r="F8" s="13"/>
      <c r="G8" s="13"/>
      <c r="H8" s="13"/>
      <c r="I8" s="13"/>
      <c r="J8" s="20"/>
      <c r="K8" s="13"/>
      <c r="L8" s="13"/>
      <c r="M8" s="13"/>
      <c r="N8" s="13"/>
      <c r="O8" s="13"/>
      <c r="P8" s="21"/>
      <c r="Q8" s="22"/>
      <c r="R8" s="20"/>
      <c r="S8" s="18"/>
    </row>
    <row r="9" spans="1:19" ht="24" customHeight="1">
      <c r="A9" s="12"/>
      <c r="B9" s="13" t="s">
        <v>11</v>
      </c>
      <c r="C9" s="13"/>
      <c r="D9" s="13"/>
      <c r="E9" s="26" t="s">
        <v>12</v>
      </c>
      <c r="F9" s="26"/>
      <c r="G9" s="26"/>
      <c r="H9" s="26"/>
      <c r="I9" s="26"/>
      <c r="J9" s="26"/>
      <c r="K9" s="13"/>
      <c r="L9" s="13"/>
      <c r="M9" s="13"/>
      <c r="N9" s="13"/>
      <c r="O9" s="13" t="s">
        <v>13</v>
      </c>
      <c r="P9" s="27" t="s">
        <v>14</v>
      </c>
      <c r="Q9" s="27"/>
      <c r="R9" s="27"/>
      <c r="S9" s="18"/>
    </row>
    <row r="10" spans="1:19" ht="17.25" customHeight="1" hidden="1">
      <c r="A10" s="12"/>
      <c r="B10" s="13" t="s">
        <v>15</v>
      </c>
      <c r="C10" s="13"/>
      <c r="D10" s="13"/>
      <c r="E10" s="28" t="s">
        <v>4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22"/>
      <c r="Q10" s="22"/>
      <c r="R10" s="13"/>
      <c r="S10" s="18"/>
    </row>
    <row r="11" spans="1:19" ht="17.25" customHeight="1" hidden="1">
      <c r="A11" s="12"/>
      <c r="B11" s="13" t="s">
        <v>16</v>
      </c>
      <c r="C11" s="13"/>
      <c r="D11" s="13"/>
      <c r="E11" s="28" t="s">
        <v>4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2"/>
      <c r="Q11" s="22"/>
      <c r="R11" s="13"/>
      <c r="S11" s="18"/>
    </row>
    <row r="12" spans="1:19" ht="17.25" customHeight="1" hidden="1">
      <c r="A12" s="12"/>
      <c r="B12" s="13" t="s">
        <v>17</v>
      </c>
      <c r="C12" s="13"/>
      <c r="D12" s="13"/>
      <c r="E12" s="28" t="s">
        <v>4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22"/>
      <c r="Q12" s="22"/>
      <c r="R12" s="13"/>
      <c r="S12" s="18"/>
    </row>
    <row r="13" spans="1:19" ht="17.25" customHeight="1" hidden="1">
      <c r="A13" s="12"/>
      <c r="B13" s="13"/>
      <c r="C13" s="13"/>
      <c r="D13" s="13"/>
      <c r="E13" s="28" t="s">
        <v>4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22"/>
      <c r="Q13" s="22"/>
      <c r="R13" s="13"/>
      <c r="S13" s="18"/>
    </row>
    <row r="14" spans="1:19" ht="17.25" customHeight="1" hidden="1">
      <c r="A14" s="12"/>
      <c r="B14" s="13"/>
      <c r="C14" s="13"/>
      <c r="D14" s="13"/>
      <c r="E14" s="28" t="s">
        <v>4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22"/>
      <c r="Q14" s="22"/>
      <c r="R14" s="13"/>
      <c r="S14" s="18"/>
    </row>
    <row r="15" spans="1:19" ht="17.25" customHeight="1" hidden="1">
      <c r="A15" s="12"/>
      <c r="B15" s="13"/>
      <c r="C15" s="13"/>
      <c r="D15" s="13"/>
      <c r="E15" s="28" t="s">
        <v>4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2"/>
      <c r="Q15" s="22"/>
      <c r="R15" s="13"/>
      <c r="S15" s="18"/>
    </row>
    <row r="16" spans="1:19" ht="17.25" customHeight="1" hidden="1">
      <c r="A16" s="12"/>
      <c r="B16" s="13"/>
      <c r="C16" s="13"/>
      <c r="D16" s="13"/>
      <c r="E16" s="28" t="s">
        <v>4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2"/>
      <c r="Q16" s="22"/>
      <c r="R16" s="13"/>
      <c r="S16" s="18"/>
    </row>
    <row r="17" spans="1:19" ht="17.25" customHeight="1" hidden="1">
      <c r="A17" s="12"/>
      <c r="B17" s="13"/>
      <c r="C17" s="13"/>
      <c r="D17" s="13"/>
      <c r="E17" s="28" t="s">
        <v>4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2"/>
      <c r="Q17" s="22"/>
      <c r="R17" s="13"/>
      <c r="S17" s="18"/>
    </row>
    <row r="18" spans="1:19" ht="17.25" customHeight="1" hidden="1">
      <c r="A18" s="12"/>
      <c r="B18" s="13"/>
      <c r="C18" s="13"/>
      <c r="D18" s="13"/>
      <c r="E18" s="28" t="s">
        <v>4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22"/>
      <c r="Q18" s="22"/>
      <c r="R18" s="13"/>
      <c r="S18" s="18"/>
    </row>
    <row r="19" spans="1:19" ht="17.25" customHeight="1" hidden="1">
      <c r="A19" s="12"/>
      <c r="B19" s="13"/>
      <c r="C19" s="13"/>
      <c r="D19" s="13"/>
      <c r="E19" s="28" t="s">
        <v>4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22"/>
      <c r="Q19" s="22"/>
      <c r="R19" s="13"/>
      <c r="S19" s="18"/>
    </row>
    <row r="20" spans="1:19" ht="17.25" customHeight="1" hidden="1">
      <c r="A20" s="12"/>
      <c r="B20" s="13"/>
      <c r="C20" s="13"/>
      <c r="D20" s="13"/>
      <c r="E20" s="28" t="s">
        <v>4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22"/>
      <c r="Q20" s="22"/>
      <c r="R20" s="13"/>
      <c r="S20" s="18"/>
    </row>
    <row r="21" spans="1:19" ht="17.25" customHeight="1" hidden="1">
      <c r="A21" s="12"/>
      <c r="B21" s="13"/>
      <c r="C21" s="13"/>
      <c r="D21" s="13"/>
      <c r="E21" s="28" t="s">
        <v>4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22"/>
      <c r="Q21" s="22"/>
      <c r="R21" s="13"/>
      <c r="S21" s="18"/>
    </row>
    <row r="22" spans="1:19" ht="17.25" customHeight="1" hidden="1">
      <c r="A22" s="12"/>
      <c r="B22" s="13"/>
      <c r="C22" s="13"/>
      <c r="D22" s="13"/>
      <c r="E22" s="28" t="s">
        <v>4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22"/>
      <c r="Q22" s="22"/>
      <c r="R22" s="13"/>
      <c r="S22" s="18"/>
    </row>
    <row r="23" spans="1:19" ht="17.25" customHeight="1" hidden="1">
      <c r="A23" s="12"/>
      <c r="B23" s="13"/>
      <c r="C23" s="13"/>
      <c r="D23" s="13"/>
      <c r="E23" s="28" t="s">
        <v>4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2"/>
      <c r="Q23" s="22"/>
      <c r="R23" s="13"/>
      <c r="S23" s="18"/>
    </row>
    <row r="24" spans="1:19" ht="17.25" customHeight="1" hidden="1">
      <c r="A24" s="12"/>
      <c r="B24" s="13"/>
      <c r="C24" s="13"/>
      <c r="D24" s="13"/>
      <c r="E24" s="29" t="s">
        <v>4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22"/>
      <c r="Q24" s="22"/>
      <c r="R24" s="13"/>
      <c r="S24" s="18"/>
    </row>
    <row r="25" spans="1:19" ht="17.2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 t="s">
        <v>18</v>
      </c>
      <c r="P25" s="13" t="s">
        <v>19</v>
      </c>
      <c r="Q25" s="13"/>
      <c r="R25" s="13"/>
      <c r="S25" s="18"/>
    </row>
    <row r="26" spans="1:19" ht="17.25" customHeight="1">
      <c r="A26" s="12"/>
      <c r="B26" s="13" t="s">
        <v>20</v>
      </c>
      <c r="C26" s="13"/>
      <c r="D26" s="13"/>
      <c r="E26" s="15"/>
      <c r="F26" s="30"/>
      <c r="G26" s="30"/>
      <c r="H26" s="30"/>
      <c r="I26" s="30"/>
      <c r="J26" s="17"/>
      <c r="K26" s="13"/>
      <c r="L26" s="13"/>
      <c r="M26" s="13"/>
      <c r="N26" s="13"/>
      <c r="O26" s="31"/>
      <c r="P26" s="32"/>
      <c r="Q26" s="33"/>
      <c r="R26" s="34"/>
      <c r="S26" s="18"/>
    </row>
    <row r="27" spans="1:19" ht="17.25" customHeight="1">
      <c r="A27" s="12"/>
      <c r="B27" s="13" t="s">
        <v>21</v>
      </c>
      <c r="C27" s="13"/>
      <c r="D27" s="13"/>
      <c r="E27" s="35" t="s">
        <v>22</v>
      </c>
      <c r="F27" s="13"/>
      <c r="G27" s="13"/>
      <c r="H27" s="13"/>
      <c r="I27" s="13"/>
      <c r="J27" s="20"/>
      <c r="K27" s="13"/>
      <c r="L27" s="13"/>
      <c r="M27" s="13"/>
      <c r="N27" s="13"/>
      <c r="O27" s="31"/>
      <c r="P27" s="32"/>
      <c r="Q27" s="33"/>
      <c r="R27" s="34"/>
      <c r="S27" s="18"/>
    </row>
    <row r="28" spans="1:19" ht="17.25" customHeight="1">
      <c r="A28" s="12"/>
      <c r="B28" s="13" t="s">
        <v>23</v>
      </c>
      <c r="C28" s="13"/>
      <c r="D28" s="13"/>
      <c r="E28" s="24" t="s">
        <v>4</v>
      </c>
      <c r="F28" s="13"/>
      <c r="G28" s="13"/>
      <c r="H28" s="13"/>
      <c r="I28" s="13"/>
      <c r="J28" s="20"/>
      <c r="K28" s="13"/>
      <c r="L28" s="13"/>
      <c r="M28" s="13"/>
      <c r="N28" s="13"/>
      <c r="O28" s="31"/>
      <c r="P28" s="32"/>
      <c r="Q28" s="33"/>
      <c r="R28" s="34"/>
      <c r="S28" s="18"/>
    </row>
    <row r="29" spans="1:19" ht="17.25" customHeight="1">
      <c r="A29" s="12"/>
      <c r="B29" s="13"/>
      <c r="C29" s="13"/>
      <c r="D29" s="13"/>
      <c r="E29" s="36"/>
      <c r="F29" s="37"/>
      <c r="G29" s="37"/>
      <c r="H29" s="37"/>
      <c r="I29" s="37"/>
      <c r="J29" s="38"/>
      <c r="K29" s="13"/>
      <c r="L29" s="13"/>
      <c r="M29" s="13"/>
      <c r="N29" s="13"/>
      <c r="O29" s="22"/>
      <c r="P29" s="22"/>
      <c r="Q29" s="22"/>
      <c r="R29" s="13"/>
      <c r="S29" s="18"/>
    </row>
    <row r="30" spans="1:19" ht="17.25" customHeight="1">
      <c r="A30" s="12"/>
      <c r="B30" s="13"/>
      <c r="C30" s="13"/>
      <c r="D30" s="13"/>
      <c r="E30" s="39" t="s">
        <v>24</v>
      </c>
      <c r="F30" s="13"/>
      <c r="G30" s="13" t="s">
        <v>25</v>
      </c>
      <c r="H30" s="13"/>
      <c r="I30" s="13"/>
      <c r="J30" s="13"/>
      <c r="K30" s="13"/>
      <c r="L30" s="13"/>
      <c r="M30" s="13"/>
      <c r="N30" s="13"/>
      <c r="O30" s="39" t="s">
        <v>26</v>
      </c>
      <c r="P30" s="22"/>
      <c r="Q30" s="22"/>
      <c r="R30" s="40"/>
      <c r="S30" s="18"/>
    </row>
    <row r="31" spans="1:19" ht="17.25" customHeight="1">
      <c r="A31" s="12"/>
      <c r="B31" s="13"/>
      <c r="C31" s="13"/>
      <c r="D31" s="13"/>
      <c r="E31" s="31"/>
      <c r="F31" s="13"/>
      <c r="G31" s="32"/>
      <c r="H31" s="41"/>
      <c r="I31" s="42"/>
      <c r="J31" s="13"/>
      <c r="K31" s="13"/>
      <c r="L31" s="13"/>
      <c r="M31" s="13"/>
      <c r="N31" s="13"/>
      <c r="O31" s="43"/>
      <c r="P31" s="22"/>
      <c r="Q31" s="22"/>
      <c r="R31" s="44"/>
      <c r="S31" s="18"/>
    </row>
    <row r="32" spans="1:19" ht="8.25" customHeight="1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7"/>
    </row>
    <row r="33" spans="1:19" ht="20.25" customHeight="1">
      <c r="A33" s="48"/>
      <c r="B33" s="49"/>
      <c r="C33" s="49"/>
      <c r="D33" s="49"/>
      <c r="E33" s="50" t="s">
        <v>27</v>
      </c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51"/>
    </row>
    <row r="34" spans="1:19" ht="20.25" customHeight="1">
      <c r="A34" s="52" t="s">
        <v>28</v>
      </c>
      <c r="B34" s="53"/>
      <c r="C34" s="53"/>
      <c r="D34" s="54"/>
      <c r="E34" s="55" t="s">
        <v>29</v>
      </c>
      <c r="F34" s="54"/>
      <c r="G34" s="55" t="s">
        <v>30</v>
      </c>
      <c r="H34" s="53"/>
      <c r="I34" s="54"/>
      <c r="J34" s="55" t="s">
        <v>31</v>
      </c>
      <c r="K34" s="53"/>
      <c r="L34" s="55" t="s">
        <v>32</v>
      </c>
      <c r="M34" s="53"/>
      <c r="N34" s="53"/>
      <c r="O34" s="54"/>
      <c r="P34" s="55" t="s">
        <v>33</v>
      </c>
      <c r="Q34" s="53"/>
      <c r="R34" s="53"/>
      <c r="S34" s="56"/>
    </row>
    <row r="35" spans="1:19" ht="20.25" customHeight="1">
      <c r="A35" s="57"/>
      <c r="B35" s="58"/>
      <c r="C35" s="58"/>
      <c r="D35" s="59">
        <v>0</v>
      </c>
      <c r="E35" s="60">
        <f>IF(D35=0,0,R47/D35)</f>
        <v>0</v>
      </c>
      <c r="F35" s="61"/>
      <c r="G35" s="62"/>
      <c r="H35" s="58"/>
      <c r="I35" s="59">
        <v>0</v>
      </c>
      <c r="J35" s="60">
        <f>IF(I35=0,0,R47/I35)</f>
        <v>0</v>
      </c>
      <c r="K35" s="63"/>
      <c r="L35" s="62"/>
      <c r="M35" s="58"/>
      <c r="N35" s="58"/>
      <c r="O35" s="59">
        <v>0</v>
      </c>
      <c r="P35" s="62"/>
      <c r="Q35" s="58"/>
      <c r="R35" s="64">
        <f>IF(O35=0,0,R47/O35)</f>
        <v>0</v>
      </c>
      <c r="S35" s="65"/>
    </row>
    <row r="36" spans="1:19" ht="20.25" customHeight="1">
      <c r="A36" s="48"/>
      <c r="B36" s="49"/>
      <c r="C36" s="49"/>
      <c r="D36" s="49"/>
      <c r="E36" s="50" t="s">
        <v>34</v>
      </c>
      <c r="F36" s="49"/>
      <c r="G36" s="49"/>
      <c r="H36" s="49"/>
      <c r="I36" s="49"/>
      <c r="J36" s="66" t="s">
        <v>35</v>
      </c>
      <c r="K36" s="49"/>
      <c r="L36" s="49"/>
      <c r="M36" s="49"/>
      <c r="N36" s="49"/>
      <c r="O36" s="49"/>
      <c r="P36" s="49"/>
      <c r="Q36" s="49"/>
      <c r="R36" s="49"/>
      <c r="S36" s="51"/>
    </row>
    <row r="37" spans="1:19" ht="20.25" customHeight="1">
      <c r="A37" s="67" t="s">
        <v>36</v>
      </c>
      <c r="B37" s="68"/>
      <c r="C37" s="69" t="s">
        <v>37</v>
      </c>
      <c r="D37" s="70"/>
      <c r="E37" s="70"/>
      <c r="F37" s="71"/>
      <c r="G37" s="67" t="s">
        <v>38</v>
      </c>
      <c r="H37" s="72"/>
      <c r="I37" s="69" t="s">
        <v>39</v>
      </c>
      <c r="J37" s="70"/>
      <c r="K37" s="70"/>
      <c r="L37" s="67" t="s">
        <v>40</v>
      </c>
      <c r="M37" s="72"/>
      <c r="N37" s="69" t="s">
        <v>41</v>
      </c>
      <c r="O37" s="70"/>
      <c r="P37" s="70"/>
      <c r="Q37" s="70"/>
      <c r="R37" s="70"/>
      <c r="S37" s="71"/>
    </row>
    <row r="38" spans="1:19" ht="20.25" customHeight="1">
      <c r="A38" s="73">
        <v>1</v>
      </c>
      <c r="B38" s="74" t="s">
        <v>42</v>
      </c>
      <c r="C38" s="17"/>
      <c r="D38" s="75" t="s">
        <v>43</v>
      </c>
      <c r="E38" s="76">
        <v>0</v>
      </c>
      <c r="F38" s="77"/>
      <c r="G38" s="73">
        <v>8</v>
      </c>
      <c r="H38" s="78" t="s">
        <v>44</v>
      </c>
      <c r="I38" s="34"/>
      <c r="J38" s="79">
        <v>0</v>
      </c>
      <c r="K38" s="80"/>
      <c r="L38" s="73">
        <v>13</v>
      </c>
      <c r="M38" s="32" t="s">
        <v>45</v>
      </c>
      <c r="N38" s="41"/>
      <c r="O38" s="41"/>
      <c r="P38" s="81">
        <f>M49</f>
        <v>21</v>
      </c>
      <c r="Q38" s="82" t="s">
        <v>46</v>
      </c>
      <c r="R38" s="76">
        <f>E44*0</f>
        <v>0</v>
      </c>
      <c r="S38" s="77"/>
    </row>
    <row r="39" spans="1:19" ht="20.25" customHeight="1">
      <c r="A39" s="73">
        <v>2</v>
      </c>
      <c r="B39" s="83"/>
      <c r="C39" s="38"/>
      <c r="D39" s="75" t="s">
        <v>47</v>
      </c>
      <c r="E39" s="76">
        <f>Rekapitulace!C14</f>
        <v>0</v>
      </c>
      <c r="F39" s="77"/>
      <c r="G39" s="73">
        <v>9</v>
      </c>
      <c r="H39" s="13" t="s">
        <v>48</v>
      </c>
      <c r="I39" s="75"/>
      <c r="J39" s="79">
        <v>0</v>
      </c>
      <c r="K39" s="80"/>
      <c r="L39" s="73">
        <v>14</v>
      </c>
      <c r="M39" s="32" t="s">
        <v>49</v>
      </c>
      <c r="N39" s="41"/>
      <c r="O39" s="41"/>
      <c r="P39" s="81">
        <f>M49</f>
        <v>21</v>
      </c>
      <c r="Q39" s="82" t="s">
        <v>46</v>
      </c>
      <c r="R39" s="76">
        <f>E44*0</f>
        <v>0</v>
      </c>
      <c r="S39" s="77"/>
    </row>
    <row r="40" spans="1:19" ht="20.25" customHeight="1">
      <c r="A40" s="73">
        <v>3</v>
      </c>
      <c r="B40" s="74" t="s">
        <v>50</v>
      </c>
      <c r="C40" s="17"/>
      <c r="D40" s="75" t="s">
        <v>43</v>
      </c>
      <c r="E40" s="76">
        <v>0</v>
      </c>
      <c r="F40" s="77"/>
      <c r="G40" s="73">
        <v>10</v>
      </c>
      <c r="H40" s="78" t="s">
        <v>51</v>
      </c>
      <c r="I40" s="34"/>
      <c r="J40" s="79">
        <v>0</v>
      </c>
      <c r="K40" s="80"/>
      <c r="L40" s="73">
        <v>15</v>
      </c>
      <c r="M40" s="32" t="s">
        <v>52</v>
      </c>
      <c r="N40" s="41"/>
      <c r="O40" s="41"/>
      <c r="P40" s="81">
        <f>M49</f>
        <v>21</v>
      </c>
      <c r="Q40" s="82" t="s">
        <v>46</v>
      </c>
      <c r="R40" s="76">
        <v>0</v>
      </c>
      <c r="S40" s="77"/>
    </row>
    <row r="41" spans="1:19" ht="20.25" customHeight="1">
      <c r="A41" s="73">
        <v>4</v>
      </c>
      <c r="B41" s="83"/>
      <c r="C41" s="38"/>
      <c r="D41" s="75" t="s">
        <v>47</v>
      </c>
      <c r="E41" s="76">
        <f>Rekapitulace!C18</f>
        <v>0</v>
      </c>
      <c r="F41" s="77"/>
      <c r="G41" s="73">
        <v>11</v>
      </c>
      <c r="H41" s="78"/>
      <c r="I41" s="34"/>
      <c r="J41" s="79">
        <v>0</v>
      </c>
      <c r="K41" s="80"/>
      <c r="L41" s="73">
        <v>16</v>
      </c>
      <c r="M41" s="32" t="s">
        <v>53</v>
      </c>
      <c r="N41" s="41"/>
      <c r="O41" s="41"/>
      <c r="P41" s="81">
        <f>M49</f>
        <v>21</v>
      </c>
      <c r="Q41" s="82" t="s">
        <v>46</v>
      </c>
      <c r="R41" s="76">
        <v>0</v>
      </c>
      <c r="S41" s="77"/>
    </row>
    <row r="42" spans="1:21" ht="20.25" customHeight="1">
      <c r="A42" s="73">
        <v>5</v>
      </c>
      <c r="B42" s="74" t="s">
        <v>54</v>
      </c>
      <c r="C42" s="17"/>
      <c r="D42" s="75" t="s">
        <v>43</v>
      </c>
      <c r="E42" s="76">
        <f>SUMIF('Rozpočet-dívčí'!O13:O95,256,'Rozpočet-dívčí'!I13:I95)</f>
        <v>0</v>
      </c>
      <c r="F42" s="77"/>
      <c r="G42" s="84"/>
      <c r="H42" s="41"/>
      <c r="I42" s="34"/>
      <c r="J42" s="85"/>
      <c r="K42" s="80"/>
      <c r="L42" s="73">
        <v>17</v>
      </c>
      <c r="M42" s="32" t="s">
        <v>55</v>
      </c>
      <c r="N42" s="41"/>
      <c r="O42" s="41"/>
      <c r="P42" s="81">
        <f>M49</f>
        <v>21</v>
      </c>
      <c r="Q42" s="82" t="s">
        <v>46</v>
      </c>
      <c r="R42" s="76">
        <v>0</v>
      </c>
      <c r="S42" s="77"/>
      <c r="U42" s="86"/>
    </row>
    <row r="43" spans="1:19" ht="20.25" customHeight="1">
      <c r="A43" s="73">
        <v>6</v>
      </c>
      <c r="B43" s="83"/>
      <c r="C43" s="38"/>
      <c r="D43" s="75" t="s">
        <v>47</v>
      </c>
      <c r="E43" s="76">
        <f>SUMIF('Rozpočet-dívčí'!O14:O95,64,'Rozpočet-dívčí'!I14:I95)</f>
        <v>0</v>
      </c>
      <c r="F43" s="77"/>
      <c r="G43" s="84"/>
      <c r="H43" s="41"/>
      <c r="I43" s="34"/>
      <c r="J43" s="85"/>
      <c r="K43" s="80"/>
      <c r="L43" s="73">
        <v>18</v>
      </c>
      <c r="M43" s="78" t="s">
        <v>56</v>
      </c>
      <c r="N43" s="41"/>
      <c r="O43" s="41"/>
      <c r="P43" s="41"/>
      <c r="Q43" s="34"/>
      <c r="R43" s="76">
        <f>SUMIF('Rozpočet-dívčí'!O14:O95,1024,'Rozpočet-dívčí'!I14:I95)</f>
        <v>0</v>
      </c>
      <c r="S43" s="77"/>
    </row>
    <row r="44" spans="1:19" ht="20.25" customHeight="1">
      <c r="A44" s="73">
        <v>7</v>
      </c>
      <c r="B44" s="87" t="s">
        <v>57</v>
      </c>
      <c r="C44" s="41"/>
      <c r="D44" s="34"/>
      <c r="E44" s="88">
        <f>SUM(E38:E43)</f>
        <v>0</v>
      </c>
      <c r="F44" s="51"/>
      <c r="G44" s="73">
        <v>12</v>
      </c>
      <c r="H44" s="87" t="s">
        <v>58</v>
      </c>
      <c r="I44" s="34"/>
      <c r="J44" s="89">
        <f>SUM(J38:J41)</f>
        <v>0</v>
      </c>
      <c r="K44" s="90"/>
      <c r="L44" s="73">
        <v>19</v>
      </c>
      <c r="M44" s="74" t="s">
        <v>59</v>
      </c>
      <c r="N44" s="30"/>
      <c r="O44" s="30"/>
      <c r="P44" s="30"/>
      <c r="Q44" s="91"/>
      <c r="R44" s="88">
        <f>SUM(R38:R43)</f>
        <v>0</v>
      </c>
      <c r="S44" s="51"/>
    </row>
    <row r="45" spans="1:19" ht="20.25" customHeight="1">
      <c r="A45" s="92">
        <v>20</v>
      </c>
      <c r="B45" s="93" t="s">
        <v>60</v>
      </c>
      <c r="C45" s="94"/>
      <c r="D45" s="95"/>
      <c r="E45" s="96">
        <f>SUMIF('Rozpočet-dívčí'!O14:O95,512,'Rozpočet-dívčí'!I14:I95)</f>
        <v>0</v>
      </c>
      <c r="F45" s="47"/>
      <c r="G45" s="92">
        <v>21</v>
      </c>
      <c r="H45" s="93" t="s">
        <v>61</v>
      </c>
      <c r="I45" s="95"/>
      <c r="J45" s="97">
        <v>0</v>
      </c>
      <c r="K45" s="98">
        <f>M49</f>
        <v>21</v>
      </c>
      <c r="L45" s="92">
        <v>22</v>
      </c>
      <c r="M45" s="93" t="s">
        <v>62</v>
      </c>
      <c r="N45" s="94"/>
      <c r="O45" s="94"/>
      <c r="P45" s="94"/>
      <c r="Q45" s="95"/>
      <c r="R45" s="96">
        <f>SUMIF('Rozpočet-dívčí'!O14:O95,"&lt;4",'Rozpočet-dívčí'!I14:I95)+SUMIF('Rozpočet-dívčí'!O14:O95,"&gt;1024",'Rozpočet-dívčí'!I14:I95)</f>
        <v>0</v>
      </c>
      <c r="S45" s="47"/>
    </row>
    <row r="46" spans="1:19" ht="20.25" customHeight="1">
      <c r="A46" s="99" t="s">
        <v>21</v>
      </c>
      <c r="B46" s="10"/>
      <c r="C46" s="10"/>
      <c r="D46" s="10"/>
      <c r="E46" s="10"/>
      <c r="F46" s="100"/>
      <c r="G46" s="101"/>
      <c r="H46" s="10"/>
      <c r="I46" s="10"/>
      <c r="J46" s="10"/>
      <c r="K46" s="10"/>
      <c r="L46" s="67" t="s">
        <v>63</v>
      </c>
      <c r="M46" s="54"/>
      <c r="N46" s="69" t="s">
        <v>64</v>
      </c>
      <c r="O46" s="53"/>
      <c r="P46" s="53"/>
      <c r="Q46" s="53"/>
      <c r="R46" s="53"/>
      <c r="S46" s="56"/>
    </row>
    <row r="47" spans="1:19" ht="20.25" customHeight="1">
      <c r="A47" s="12"/>
      <c r="B47" s="13"/>
      <c r="C47" s="13"/>
      <c r="D47" s="13"/>
      <c r="E47" s="13"/>
      <c r="F47" s="20"/>
      <c r="G47" s="102"/>
      <c r="H47" s="13"/>
      <c r="I47" s="13"/>
      <c r="J47" s="13"/>
      <c r="K47" s="13"/>
      <c r="L47" s="73">
        <v>23</v>
      </c>
      <c r="M47" s="78" t="s">
        <v>65</v>
      </c>
      <c r="N47" s="41"/>
      <c r="O47" s="41"/>
      <c r="P47" s="41"/>
      <c r="Q47" s="77"/>
      <c r="R47" s="88">
        <f>ROUND(E44+J44+R44+E45+J45+R45,2)</f>
        <v>0</v>
      </c>
      <c r="S47" s="103">
        <f>E44+J44+R44+E45+J45+R45</f>
        <v>0</v>
      </c>
    </row>
    <row r="48" spans="1:19" ht="20.25" customHeight="1">
      <c r="A48" s="104" t="s">
        <v>66</v>
      </c>
      <c r="B48" s="37"/>
      <c r="C48" s="37"/>
      <c r="D48" s="37"/>
      <c r="E48" s="37"/>
      <c r="F48" s="38"/>
      <c r="G48" s="105" t="s">
        <v>67</v>
      </c>
      <c r="H48" s="37"/>
      <c r="I48" s="37"/>
      <c r="J48" s="37"/>
      <c r="K48" s="37"/>
      <c r="L48" s="73">
        <v>24</v>
      </c>
      <c r="M48" s="106">
        <v>15</v>
      </c>
      <c r="N48" s="38" t="s">
        <v>46</v>
      </c>
      <c r="O48" s="107">
        <f>R47-O49</f>
        <v>0</v>
      </c>
      <c r="P48" s="41" t="s">
        <v>68</v>
      </c>
      <c r="Q48" s="34"/>
      <c r="R48" s="108">
        <f aca="true" t="shared" si="0" ref="R48:R49">ROUNDUP(O48*M48/100,1)</f>
        <v>0</v>
      </c>
      <c r="S48" s="109">
        <f aca="true" t="shared" si="1" ref="S48:S49">O48*M48/100</f>
        <v>0</v>
      </c>
    </row>
    <row r="49" spans="1:19" ht="20.25" customHeight="1">
      <c r="A49" s="110" t="s">
        <v>20</v>
      </c>
      <c r="B49" s="30"/>
      <c r="C49" s="30"/>
      <c r="D49" s="30"/>
      <c r="E49" s="30"/>
      <c r="F49" s="17"/>
      <c r="G49" s="111"/>
      <c r="H49" s="30"/>
      <c r="I49" s="30"/>
      <c r="J49" s="30"/>
      <c r="K49" s="30"/>
      <c r="L49" s="73">
        <v>25</v>
      </c>
      <c r="M49" s="112">
        <v>21</v>
      </c>
      <c r="N49" s="34" t="s">
        <v>46</v>
      </c>
      <c r="O49" s="107">
        <f>R47</f>
        <v>0</v>
      </c>
      <c r="P49" s="41" t="s">
        <v>68</v>
      </c>
      <c r="Q49" s="34"/>
      <c r="R49" s="76">
        <f t="shared" si="0"/>
        <v>0</v>
      </c>
      <c r="S49" s="113">
        <f t="shared" si="1"/>
        <v>0</v>
      </c>
    </row>
    <row r="50" spans="1:19" ht="20.25" customHeight="1">
      <c r="A50" s="12"/>
      <c r="B50" s="13"/>
      <c r="C50" s="13"/>
      <c r="D50" s="13"/>
      <c r="E50" s="13"/>
      <c r="F50" s="20"/>
      <c r="G50" s="102"/>
      <c r="H50" s="13"/>
      <c r="I50" s="13"/>
      <c r="J50" s="13"/>
      <c r="K50" s="13"/>
      <c r="L50" s="92">
        <v>26</v>
      </c>
      <c r="M50" s="114" t="s">
        <v>69</v>
      </c>
      <c r="N50" s="94"/>
      <c r="O50" s="94"/>
      <c r="P50" s="94"/>
      <c r="Q50" s="115"/>
      <c r="R50" s="116">
        <f>R47+R48+R49</f>
        <v>0</v>
      </c>
      <c r="S50" s="117"/>
    </row>
    <row r="51" spans="1:19" ht="20.25" customHeight="1">
      <c r="A51" s="104" t="s">
        <v>66</v>
      </c>
      <c r="B51" s="37"/>
      <c r="C51" s="37"/>
      <c r="D51" s="37"/>
      <c r="E51" s="37"/>
      <c r="F51" s="38"/>
      <c r="G51" s="105" t="s">
        <v>67</v>
      </c>
      <c r="H51" s="37"/>
      <c r="I51" s="37"/>
      <c r="J51" s="37"/>
      <c r="K51" s="37"/>
      <c r="L51" s="67" t="s">
        <v>70</v>
      </c>
      <c r="M51" s="54"/>
      <c r="N51" s="69" t="s">
        <v>71</v>
      </c>
      <c r="O51" s="53"/>
      <c r="P51" s="53"/>
      <c r="Q51" s="53"/>
      <c r="R51" s="118"/>
      <c r="S51" s="56"/>
    </row>
    <row r="52" spans="1:19" ht="20.25" customHeight="1">
      <c r="A52" s="110" t="s">
        <v>23</v>
      </c>
      <c r="B52" s="30"/>
      <c r="C52" s="30"/>
      <c r="D52" s="30"/>
      <c r="E52" s="30"/>
      <c r="F52" s="17"/>
      <c r="G52" s="111"/>
      <c r="H52" s="30"/>
      <c r="I52" s="30"/>
      <c r="J52" s="30"/>
      <c r="K52" s="30"/>
      <c r="L52" s="73">
        <v>27</v>
      </c>
      <c r="M52" s="78" t="s">
        <v>72</v>
      </c>
      <c r="N52" s="41"/>
      <c r="O52" s="41"/>
      <c r="P52" s="41"/>
      <c r="Q52" s="34"/>
      <c r="R52" s="76">
        <v>0</v>
      </c>
      <c r="S52" s="77"/>
    </row>
    <row r="53" spans="1:19" ht="20.25" customHeight="1">
      <c r="A53" s="12"/>
      <c r="B53" s="13"/>
      <c r="C53" s="13"/>
      <c r="D53" s="13"/>
      <c r="E53" s="13"/>
      <c r="F53" s="20"/>
      <c r="G53" s="102"/>
      <c r="H53" s="13"/>
      <c r="I53" s="13"/>
      <c r="J53" s="13"/>
      <c r="K53" s="13"/>
      <c r="L53" s="73">
        <v>28</v>
      </c>
      <c r="M53" s="78" t="s">
        <v>73</v>
      </c>
      <c r="N53" s="41"/>
      <c r="O53" s="41"/>
      <c r="P53" s="41"/>
      <c r="Q53" s="34"/>
      <c r="R53" s="76">
        <v>0</v>
      </c>
      <c r="S53" s="77"/>
    </row>
    <row r="54" spans="1:19" ht="20.25" customHeight="1">
      <c r="A54" s="119" t="s">
        <v>66</v>
      </c>
      <c r="B54" s="46"/>
      <c r="C54" s="46"/>
      <c r="D54" s="46"/>
      <c r="E54" s="46"/>
      <c r="F54" s="120"/>
      <c r="G54" s="121" t="s">
        <v>67</v>
      </c>
      <c r="H54" s="46"/>
      <c r="I54" s="46"/>
      <c r="J54" s="46"/>
      <c r="K54" s="46"/>
      <c r="L54" s="92">
        <v>29</v>
      </c>
      <c r="M54" s="93" t="s">
        <v>74</v>
      </c>
      <c r="N54" s="94"/>
      <c r="O54" s="94"/>
      <c r="P54" s="94"/>
      <c r="Q54" s="95"/>
      <c r="R54" s="60">
        <v>0</v>
      </c>
      <c r="S54" s="122"/>
    </row>
  </sheetData>
  <sheetProtection selectLockedCells="1" selectUnlockedCells="1"/>
  <mergeCells count="4">
    <mergeCell ref="E5:J5"/>
    <mergeCell ref="E7:J7"/>
    <mergeCell ref="E9:J9"/>
    <mergeCell ref="P9:R9"/>
  </mergeCells>
  <printOptions verticalCentered="1"/>
  <pageMargins left="0.5902777777777778" right="0.5902777777777778" top="0.9055555555555556" bottom="0.9055555555555556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="80" zoomScaleNormal="80" workbookViewId="0" topLeftCell="A1">
      <selection activeCell="B7" sqref="B7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5" width="0" style="1" hidden="1" customWidth="1"/>
    <col min="6" max="16384" width="9.140625" style="1" customWidth="1"/>
  </cols>
  <sheetData>
    <row r="1" spans="1:5" ht="18" customHeight="1">
      <c r="A1" s="123" t="s">
        <v>75</v>
      </c>
      <c r="B1" s="124"/>
      <c r="C1" s="124"/>
      <c r="D1" s="124"/>
      <c r="E1" s="124"/>
    </row>
    <row r="2" spans="1:5" ht="12" customHeight="1">
      <c r="A2" s="125" t="s">
        <v>76</v>
      </c>
      <c r="B2" s="126">
        <f>'Krycí list'!E5</f>
        <v>0</v>
      </c>
      <c r="C2" s="127"/>
      <c r="D2" s="127"/>
      <c r="E2" s="127"/>
    </row>
    <row r="3" spans="1:5" ht="12" customHeight="1">
      <c r="A3" s="125" t="s">
        <v>77</v>
      </c>
      <c r="B3" s="126">
        <f>'Krycí list'!E7</f>
        <v>0</v>
      </c>
      <c r="C3" s="128"/>
      <c r="D3" s="126"/>
      <c r="E3" s="129"/>
    </row>
    <row r="4" spans="1:5" ht="12" customHeight="1">
      <c r="A4" s="125" t="s">
        <v>78</v>
      </c>
      <c r="B4" s="126">
        <f>'Krycí list'!E9</f>
        <v>0</v>
      </c>
      <c r="C4" s="128"/>
      <c r="D4" s="126"/>
      <c r="E4" s="129"/>
    </row>
    <row r="5" spans="1:5" ht="12" customHeight="1">
      <c r="A5" s="126" t="s">
        <v>79</v>
      </c>
      <c r="B5" s="126">
        <f>'Krycí list'!P5</f>
        <v>0</v>
      </c>
      <c r="C5" s="128"/>
      <c r="D5" s="126"/>
      <c r="E5" s="129"/>
    </row>
    <row r="6" spans="1:5" ht="6" customHeight="1">
      <c r="A6" s="126"/>
      <c r="B6" s="126"/>
      <c r="C6" s="128"/>
      <c r="D6" s="126"/>
      <c r="E6" s="129"/>
    </row>
    <row r="7" spans="1:5" ht="12" customHeight="1">
      <c r="A7" s="126" t="s">
        <v>80</v>
      </c>
      <c r="B7" s="126"/>
      <c r="C7" s="128"/>
      <c r="D7" s="126"/>
      <c r="E7" s="129"/>
    </row>
    <row r="8" spans="1:5" ht="12" customHeight="1">
      <c r="A8" s="126" t="s">
        <v>81</v>
      </c>
      <c r="B8" s="126">
        <f>'Krycí list'!E28</f>
        <v>0</v>
      </c>
      <c r="C8" s="128"/>
      <c r="D8" s="126"/>
      <c r="E8" s="129"/>
    </row>
    <row r="9" spans="1:5" ht="12" customHeight="1">
      <c r="A9" s="126" t="s">
        <v>82</v>
      </c>
      <c r="B9" s="130"/>
      <c r="C9" s="128"/>
      <c r="D9" s="126"/>
      <c r="E9" s="129"/>
    </row>
    <row r="10" spans="1:5" ht="6" customHeight="1">
      <c r="A10" s="124"/>
      <c r="B10" s="124"/>
      <c r="C10" s="124"/>
      <c r="D10" s="124"/>
      <c r="E10" s="124"/>
    </row>
    <row r="11" spans="1:5" ht="12" customHeight="1">
      <c r="A11" s="131" t="s">
        <v>83</v>
      </c>
      <c r="B11" s="132" t="s">
        <v>84</v>
      </c>
      <c r="C11" s="133" t="s">
        <v>85</v>
      </c>
      <c r="D11" s="134" t="s">
        <v>86</v>
      </c>
      <c r="E11" s="133" t="s">
        <v>87</v>
      </c>
    </row>
    <row r="12" spans="1:5" ht="12" customHeight="1">
      <c r="A12" s="135">
        <v>1</v>
      </c>
      <c r="B12" s="136">
        <v>2</v>
      </c>
      <c r="C12" s="137">
        <v>3</v>
      </c>
      <c r="D12" s="138">
        <v>4</v>
      </c>
      <c r="E12" s="137">
        <v>5</v>
      </c>
    </row>
    <row r="13" spans="1:5" ht="3.75" customHeight="1">
      <c r="A13" s="139"/>
      <c r="B13" s="140"/>
      <c r="C13" s="140"/>
      <c r="D13" s="140"/>
      <c r="E13" s="141"/>
    </row>
    <row r="14" spans="1:5" s="146" customFormat="1" ht="12.75" customHeight="1">
      <c r="A14" s="142">
        <f>'Rozpočet-dívčí'!D14</f>
        <v>0</v>
      </c>
      <c r="B14" s="143">
        <f>'Rozpočet-dívčí'!E14</f>
        <v>0</v>
      </c>
      <c r="C14" s="144">
        <f>'Rozpočet-dívčí'!I14</f>
        <v>0</v>
      </c>
      <c r="D14" s="145" t="e">
        <f>'Rozpočet-dívčí'!K14</f>
        <v>#VALUE!</v>
      </c>
      <c r="E14" s="145" t="e">
        <f>'Rozpočet-dívčí'!M14</f>
        <v>#VALUE!</v>
      </c>
    </row>
    <row r="15" spans="1:5" s="146" customFormat="1" ht="12.75" customHeight="1">
      <c r="A15" s="147">
        <f>'Rozpočet-dívčí'!D15</f>
        <v>0</v>
      </c>
      <c r="B15" s="148">
        <f>'Rozpočet-dívčí'!E15</f>
        <v>0</v>
      </c>
      <c r="C15" s="149">
        <f>'Rozpočet-dívčí'!I15</f>
        <v>0</v>
      </c>
      <c r="D15" s="150">
        <f>'Rozpočet-dívčí'!K15</f>
        <v>10.022893399999997</v>
      </c>
      <c r="E15" s="150">
        <f>'Rozpočet-dívčí'!M15</f>
        <v>0</v>
      </c>
    </row>
    <row r="16" spans="1:5" s="146" customFormat="1" ht="12.75" customHeight="1">
      <c r="A16" s="147">
        <f>'Rozpočet-dívčí'!D44</f>
        <v>0</v>
      </c>
      <c r="B16" s="148">
        <f>'Rozpočet-dívčí'!E44</f>
        <v>0</v>
      </c>
      <c r="C16" s="149">
        <f>'Rozpočet-dívčí'!I44</f>
        <v>0</v>
      </c>
      <c r="D16" s="150">
        <f>'Rozpočet-dívčí'!K44</f>
        <v>0</v>
      </c>
      <c r="E16" s="150">
        <f>'Rozpočet-dívčí'!M44</f>
        <v>0</v>
      </c>
    </row>
    <row r="17" spans="1:5" s="146" customFormat="1" ht="12.75" customHeight="1">
      <c r="A17" s="151">
        <f>'Rozpočet-dívčí'!D58</f>
        <v>0</v>
      </c>
      <c r="B17" s="152">
        <f>'Rozpočet-dívčí'!E58</f>
        <v>0</v>
      </c>
      <c r="C17" s="153">
        <f>'Rozpočet-dívčí'!I58</f>
        <v>0</v>
      </c>
      <c r="D17" s="154">
        <f>'Rozpočet-dívčí'!K58</f>
        <v>0</v>
      </c>
      <c r="E17" s="154">
        <f>'Rozpočet-dívčí'!M58</f>
        <v>0</v>
      </c>
    </row>
    <row r="18" spans="1:5" s="146" customFormat="1" ht="12.75" customHeight="1">
      <c r="A18" s="142">
        <f>'Rozpočet-dívčí'!D69</f>
        <v>0</v>
      </c>
      <c r="B18" s="143">
        <f>'Rozpočet-dívčí'!E69</f>
        <v>0</v>
      </c>
      <c r="C18" s="144">
        <f>'Rozpočet-dívčí'!I69</f>
        <v>0</v>
      </c>
      <c r="D18" s="145" t="e">
        <f>'Rozpočet-dívčí'!K69</f>
        <v>#VALUE!</v>
      </c>
      <c r="E18" s="145" t="e">
        <f>'Rozpočet-dívčí'!M69</f>
        <v>#VALUE!</v>
      </c>
    </row>
    <row r="19" spans="1:5" s="146" customFormat="1" ht="12.75" customHeight="1">
      <c r="A19" s="147">
        <f>'Rozpočet-dívčí'!D70</f>
        <v>0</v>
      </c>
      <c r="B19" s="148">
        <f>'Rozpočet-dívčí'!E70</f>
        <v>0</v>
      </c>
      <c r="C19" s="149">
        <f>'Rozpočet-dívčí'!I70</f>
        <v>0</v>
      </c>
      <c r="D19" s="150">
        <f>'Rozpočet-dívčí'!K70</f>
        <v>1.8045600000000002</v>
      </c>
      <c r="E19" s="150">
        <f>'Rozpočet-dívčí'!M70</f>
        <v>0</v>
      </c>
    </row>
    <row r="20" spans="1:5" s="146" customFormat="1" ht="12.75" customHeight="1">
      <c r="A20" s="147">
        <f>'Rozpočet-dívčí'!D82</f>
        <v>766</v>
      </c>
      <c r="B20" s="148">
        <f>'Rozpočet-dívčí'!E82</f>
        <v>0</v>
      </c>
      <c r="C20" s="149">
        <f>'Rozpočet-dívčí'!I82</f>
        <v>0</v>
      </c>
      <c r="D20" s="150">
        <f>'Rozpočet-dívčí'!K82</f>
        <v>0.00125</v>
      </c>
      <c r="E20" s="150">
        <f>'Rozpočet-dívčí'!M82</f>
        <v>0.01</v>
      </c>
    </row>
    <row r="21" spans="1:5" s="146" customFormat="1" ht="12.75" customHeight="1">
      <c r="A21" s="147">
        <f>'Rozpočet-dívčí'!D88</f>
        <v>782</v>
      </c>
      <c r="B21" s="148">
        <f>'Rozpočet-dívčí'!E88</f>
        <v>0</v>
      </c>
      <c r="C21" s="149">
        <f>'Rozpočet-dívčí'!I88</f>
        <v>0</v>
      </c>
      <c r="D21" s="150">
        <f>'Rozpočet-dívčí'!K88</f>
        <v>0</v>
      </c>
      <c r="E21" s="150">
        <f>'Rozpočet-dívčí'!M88</f>
        <v>0</v>
      </c>
    </row>
    <row r="22" spans="2:5" s="155" customFormat="1" ht="12.75" customHeight="1">
      <c r="B22" s="156" t="s">
        <v>88</v>
      </c>
      <c r="C22" s="157">
        <f>'Rozpočet-dívčí'!I95</f>
        <v>0</v>
      </c>
      <c r="D22" s="158" t="e">
        <f>'Rozpočet-dívčí'!K95</f>
        <v>#VALUE!</v>
      </c>
      <c r="E22" s="158" t="e">
        <f>'Rozpočet-dívčí'!M95</f>
        <v>#VALUE!</v>
      </c>
    </row>
  </sheetData>
  <sheetProtection selectLockedCells="1" selectUnlockedCells="1"/>
  <printOptions horizontalCentered="1"/>
  <pageMargins left="1.1020833333333333" right="1.1020833333333333" top="0.7875" bottom="0.7875" header="0.5118055555555555" footer="0.5118055555555555"/>
  <pageSetup horizontalDpi="300" verticalDpi="300" orientation="portrait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5"/>
  <sheetViews>
    <sheetView zoomScale="80" zoomScaleNormal="80" workbookViewId="0" topLeftCell="A1">
      <selection activeCell="D1" sqref="D1"/>
    </sheetView>
  </sheetViews>
  <sheetFormatPr defaultColWidth="9.140625" defaultRowHeight="11.25" customHeight="1"/>
  <cols>
    <col min="1" max="1" width="10.28125" style="1" customWidth="1"/>
    <col min="2" max="3" width="0" style="1" hidden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20" width="0" style="1" hidden="1" customWidth="1"/>
    <col min="21" max="21" width="9.140625" style="159" customWidth="1"/>
    <col min="22" max="16384" width="9.140625" style="1" customWidth="1"/>
  </cols>
  <sheetData>
    <row r="1" spans="1:20" ht="18" customHeight="1">
      <c r="A1" s="123" t="s">
        <v>89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1"/>
      <c r="P1" s="161"/>
      <c r="Q1" s="160"/>
      <c r="R1" s="160"/>
      <c r="S1" s="160"/>
      <c r="T1" s="160"/>
    </row>
    <row r="2" spans="1:20" ht="11.25" customHeight="1">
      <c r="A2" s="125" t="s">
        <v>76</v>
      </c>
      <c r="B2" s="126"/>
      <c r="C2" s="126">
        <f>'Krycí list'!E5</f>
        <v>0</v>
      </c>
      <c r="D2" s="126">
        <f>'Krycí list'!E5</f>
        <v>0</v>
      </c>
      <c r="E2" s="126"/>
      <c r="F2" s="126"/>
      <c r="G2" s="126"/>
      <c r="H2" s="126"/>
      <c r="I2" s="126"/>
      <c r="J2" s="126"/>
      <c r="K2" s="126"/>
      <c r="L2" s="160"/>
      <c r="M2" s="160"/>
      <c r="N2" s="160"/>
      <c r="O2" s="161"/>
      <c r="P2" s="161"/>
      <c r="Q2" s="160"/>
      <c r="R2" s="160"/>
      <c r="S2" s="160"/>
      <c r="T2" s="160"/>
    </row>
    <row r="3" spans="1:20" ht="11.25" customHeight="1">
      <c r="A3" s="125" t="s">
        <v>77</v>
      </c>
      <c r="B3" s="126"/>
      <c r="C3" s="126" t="s">
        <v>90</v>
      </c>
      <c r="D3" s="126">
        <f>'Krycí list'!E7</f>
        <v>0</v>
      </c>
      <c r="E3" s="126"/>
      <c r="F3" s="126"/>
      <c r="G3" s="126"/>
      <c r="H3" s="126"/>
      <c r="I3" s="126"/>
      <c r="J3" s="126"/>
      <c r="K3" s="126"/>
      <c r="L3" s="160"/>
      <c r="M3" s="160"/>
      <c r="N3" s="160"/>
      <c r="O3" s="161"/>
      <c r="P3" s="161"/>
      <c r="Q3" s="160"/>
      <c r="R3" s="160"/>
      <c r="S3" s="160"/>
      <c r="T3" s="160"/>
    </row>
    <row r="4" spans="1:20" ht="11.25" customHeight="1">
      <c r="A4" s="125" t="s">
        <v>78</v>
      </c>
      <c r="B4" s="126"/>
      <c r="C4" s="126">
        <f>'Krycí list'!E9</f>
        <v>0</v>
      </c>
      <c r="D4" s="126">
        <f>'Krycí list'!E9</f>
        <v>0</v>
      </c>
      <c r="E4" s="126"/>
      <c r="F4" s="126"/>
      <c r="G4" s="126"/>
      <c r="H4" s="126"/>
      <c r="I4" s="126"/>
      <c r="J4" s="126"/>
      <c r="K4" s="126"/>
      <c r="L4" s="160"/>
      <c r="M4" s="160"/>
      <c r="N4" s="160"/>
      <c r="O4" s="161"/>
      <c r="P4" s="161"/>
      <c r="Q4" s="160"/>
      <c r="R4" s="160"/>
      <c r="S4" s="160"/>
      <c r="T4" s="160"/>
    </row>
    <row r="5" spans="1:20" ht="11.25" customHeight="1">
      <c r="A5" s="126" t="s">
        <v>91</v>
      </c>
      <c r="B5" s="126"/>
      <c r="C5" s="126">
        <f>'Krycí list'!P5</f>
        <v>0</v>
      </c>
      <c r="D5" s="126"/>
      <c r="E5" s="126"/>
      <c r="F5" s="126"/>
      <c r="G5" s="126"/>
      <c r="H5" s="126"/>
      <c r="I5" s="126"/>
      <c r="J5" s="126"/>
      <c r="K5" s="126"/>
      <c r="L5" s="160"/>
      <c r="M5" s="160"/>
      <c r="N5" s="160"/>
      <c r="O5" s="161"/>
      <c r="P5" s="161"/>
      <c r="Q5" s="160"/>
      <c r="R5" s="160"/>
      <c r="S5" s="160"/>
      <c r="T5" s="160"/>
    </row>
    <row r="6" spans="1:20" ht="6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60"/>
      <c r="M6" s="160"/>
      <c r="N6" s="160"/>
      <c r="O6" s="161"/>
      <c r="P6" s="161"/>
      <c r="Q6" s="160"/>
      <c r="R6" s="160"/>
      <c r="S6" s="160"/>
      <c r="T6" s="160"/>
    </row>
    <row r="7" spans="1:20" ht="11.25" customHeight="1">
      <c r="A7" s="126" t="s">
        <v>80</v>
      </c>
      <c r="B7" s="126"/>
      <c r="C7" s="126">
        <f>'Krycí list'!E26</f>
        <v>0</v>
      </c>
      <c r="D7" s="126"/>
      <c r="E7" s="126"/>
      <c r="F7" s="126"/>
      <c r="G7" s="126"/>
      <c r="H7" s="126"/>
      <c r="I7" s="126"/>
      <c r="J7" s="126"/>
      <c r="K7" s="126"/>
      <c r="L7" s="160"/>
      <c r="M7" s="160"/>
      <c r="N7" s="160"/>
      <c r="O7" s="161"/>
      <c r="P7" s="161"/>
      <c r="Q7" s="160"/>
      <c r="R7" s="160"/>
      <c r="S7" s="160"/>
      <c r="T7" s="160"/>
    </row>
    <row r="8" spans="1:20" ht="11.25" customHeight="1">
      <c r="A8" s="126" t="s">
        <v>81</v>
      </c>
      <c r="B8" s="126"/>
      <c r="C8" s="126">
        <f>'Krycí list'!E28</f>
        <v>0</v>
      </c>
      <c r="D8" s="126"/>
      <c r="E8" s="126"/>
      <c r="F8" s="126"/>
      <c r="G8" s="126"/>
      <c r="H8" s="126"/>
      <c r="I8" s="126"/>
      <c r="J8" s="126"/>
      <c r="K8" s="126"/>
      <c r="L8" s="160"/>
      <c r="M8" s="160"/>
      <c r="N8" s="160"/>
      <c r="O8" s="161"/>
      <c r="P8" s="161"/>
      <c r="Q8" s="160"/>
      <c r="R8" s="160"/>
      <c r="S8" s="160"/>
      <c r="T8" s="160"/>
    </row>
    <row r="9" spans="1:20" ht="11.25" customHeight="1">
      <c r="A9" s="126" t="s">
        <v>82</v>
      </c>
      <c r="B9" s="126"/>
      <c r="C9" s="126" t="s">
        <v>92</v>
      </c>
      <c r="D9" s="130"/>
      <c r="E9" s="126"/>
      <c r="F9" s="126"/>
      <c r="G9" s="126"/>
      <c r="H9" s="126"/>
      <c r="I9" s="126"/>
      <c r="J9" s="126"/>
      <c r="K9" s="126"/>
      <c r="L9" s="160"/>
      <c r="M9" s="160"/>
      <c r="N9" s="160"/>
      <c r="O9" s="161"/>
      <c r="P9" s="161"/>
      <c r="Q9" s="160"/>
      <c r="R9" s="160"/>
      <c r="S9" s="160"/>
      <c r="T9" s="160"/>
    </row>
    <row r="10" spans="1:20" ht="5.25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1"/>
      <c r="P10" s="161"/>
      <c r="Q10" s="160"/>
      <c r="R10" s="160"/>
      <c r="S10" s="160"/>
      <c r="T10" s="160"/>
    </row>
    <row r="11" spans="1:24" ht="21.75" customHeight="1">
      <c r="A11" s="131" t="s">
        <v>93</v>
      </c>
      <c r="B11" s="132" t="s">
        <v>94</v>
      </c>
      <c r="C11" s="132" t="s">
        <v>95</v>
      </c>
      <c r="D11" s="132" t="s">
        <v>96</v>
      </c>
      <c r="E11" s="132" t="s">
        <v>84</v>
      </c>
      <c r="F11" s="132" t="s">
        <v>97</v>
      </c>
      <c r="G11" s="132" t="s">
        <v>98</v>
      </c>
      <c r="H11" s="132" t="s">
        <v>99</v>
      </c>
      <c r="I11" s="132" t="s">
        <v>85</v>
      </c>
      <c r="J11" s="132" t="s">
        <v>100</v>
      </c>
      <c r="K11" s="132" t="s">
        <v>86</v>
      </c>
      <c r="L11" s="132" t="s">
        <v>101</v>
      </c>
      <c r="M11" s="132" t="s">
        <v>102</v>
      </c>
      <c r="N11" s="132" t="s">
        <v>103</v>
      </c>
      <c r="O11" s="162" t="s">
        <v>104</v>
      </c>
      <c r="P11" s="163" t="s">
        <v>105</v>
      </c>
      <c r="Q11" s="132"/>
      <c r="R11" s="132"/>
      <c r="S11" s="132"/>
      <c r="T11" s="164" t="s">
        <v>106</v>
      </c>
      <c r="U11" s="165" t="s">
        <v>107</v>
      </c>
      <c r="V11" s="166" t="s">
        <v>108</v>
      </c>
      <c r="W11" s="166" t="s">
        <v>109</v>
      </c>
      <c r="X11" s="166" t="s">
        <v>110</v>
      </c>
    </row>
    <row r="12" spans="1:21" ht="11.25" customHeight="1">
      <c r="A12" s="135">
        <v>1</v>
      </c>
      <c r="B12" s="136">
        <v>2</v>
      </c>
      <c r="C12" s="136">
        <v>3</v>
      </c>
      <c r="D12" s="136">
        <v>4</v>
      </c>
      <c r="E12" s="136">
        <v>5</v>
      </c>
      <c r="F12" s="136">
        <v>6</v>
      </c>
      <c r="G12" s="136">
        <v>7</v>
      </c>
      <c r="H12" s="136">
        <v>8</v>
      </c>
      <c r="I12" s="136">
        <v>9</v>
      </c>
      <c r="J12" s="136"/>
      <c r="K12" s="136"/>
      <c r="L12" s="136"/>
      <c r="M12" s="136"/>
      <c r="N12" s="136">
        <v>10</v>
      </c>
      <c r="O12" s="167">
        <v>11</v>
      </c>
      <c r="P12" s="168">
        <v>12</v>
      </c>
      <c r="Q12" s="136"/>
      <c r="R12" s="136"/>
      <c r="S12" s="136"/>
      <c r="T12" s="169">
        <v>11</v>
      </c>
      <c r="U12" s="170"/>
    </row>
    <row r="13" spans="1:20" ht="3.75" customHeight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1"/>
      <c r="P13" s="171"/>
      <c r="Q13" s="160"/>
      <c r="R13" s="160"/>
      <c r="S13" s="160"/>
      <c r="T13" s="160"/>
    </row>
    <row r="14" spans="1:21" s="146" customFormat="1" ht="12.75" customHeight="1">
      <c r="A14" s="172"/>
      <c r="B14" s="173" t="s">
        <v>63</v>
      </c>
      <c r="C14" s="172"/>
      <c r="D14" s="172" t="s">
        <v>42</v>
      </c>
      <c r="E14" s="172" t="s">
        <v>111</v>
      </c>
      <c r="F14" s="172"/>
      <c r="G14" s="172"/>
      <c r="H14" s="172"/>
      <c r="I14" s="174">
        <f>+I15+I44+I58</f>
        <v>0</v>
      </c>
      <c r="J14" s="172"/>
      <c r="K14" s="175" t="e">
        <f>#REF!+#REF!+K15+K44</f>
        <v>#VALUE!</v>
      </c>
      <c r="L14" s="172"/>
      <c r="M14" s="175" t="e">
        <f>#REF!+#REF!+M15+M44</f>
        <v>#VALUE!</v>
      </c>
      <c r="N14" s="172"/>
      <c r="P14" s="143" t="s">
        <v>112</v>
      </c>
      <c r="U14" s="176"/>
    </row>
    <row r="15" spans="2:24" s="146" customFormat="1" ht="12.75" customHeight="1">
      <c r="B15" s="147" t="s">
        <v>63</v>
      </c>
      <c r="D15" s="148" t="s">
        <v>113</v>
      </c>
      <c r="E15" s="177" t="s">
        <v>114</v>
      </c>
      <c r="I15" s="149">
        <f>SUM(I16:I43)</f>
        <v>0</v>
      </c>
      <c r="K15" s="150">
        <f>SUM(K16:K43)</f>
        <v>10.022893399999997</v>
      </c>
      <c r="M15" s="150">
        <f>SUM(M16:M43)</f>
        <v>0</v>
      </c>
      <c r="P15" s="148" t="s">
        <v>115</v>
      </c>
      <c r="U15" s="176"/>
      <c r="V15" s="178">
        <f>SUM(V16:V43)</f>
        <v>32.35874916000001</v>
      </c>
      <c r="X15" s="178">
        <f>SUM(X16:X43)</f>
        <v>1.69872</v>
      </c>
    </row>
    <row r="16" spans="1:24" s="13" customFormat="1" ht="24" customHeight="1">
      <c r="A16" s="179">
        <v>1</v>
      </c>
      <c r="B16" s="179" t="s">
        <v>116</v>
      </c>
      <c r="C16" s="179" t="s">
        <v>117</v>
      </c>
      <c r="D16" s="180"/>
      <c r="E16" s="181" t="s">
        <v>118</v>
      </c>
      <c r="F16" s="179" t="s">
        <v>119</v>
      </c>
      <c r="G16" s="182">
        <v>131.72</v>
      </c>
      <c r="H16" s="183"/>
      <c r="I16" s="183">
        <f aca="true" t="shared" si="0" ref="I16:I43">ROUND(G16*H16,2)</f>
        <v>0</v>
      </c>
      <c r="J16" s="184">
        <v>0</v>
      </c>
      <c r="K16" s="185">
        <f aca="true" t="shared" si="1" ref="K16:K43">G16*J16</f>
        <v>0</v>
      </c>
      <c r="L16" s="184">
        <v>0</v>
      </c>
      <c r="M16" s="185">
        <f aca="true" t="shared" si="2" ref="M16:M43">G16*L16</f>
        <v>0</v>
      </c>
      <c r="N16" s="186">
        <v>21</v>
      </c>
      <c r="O16" s="187">
        <v>4</v>
      </c>
      <c r="P16" s="13" t="s">
        <v>120</v>
      </c>
      <c r="U16" s="188">
        <f>0.05*0.8</f>
        <v>0.04000000000000001</v>
      </c>
      <c r="V16" s="188">
        <f aca="true" t="shared" si="3" ref="V16:V43">G16*U16</f>
        <v>5.268800000000001</v>
      </c>
      <c r="W16" s="188"/>
      <c r="X16" s="188">
        <f aca="true" t="shared" si="4" ref="X16:X43">G16*W16</f>
        <v>0</v>
      </c>
    </row>
    <row r="17" spans="1:24" s="13" customFormat="1" ht="13.5" customHeight="1">
      <c r="A17" s="179">
        <v>2</v>
      </c>
      <c r="B17" s="179" t="s">
        <v>116</v>
      </c>
      <c r="C17" s="179" t="s">
        <v>117</v>
      </c>
      <c r="D17" s="180"/>
      <c r="E17" s="181" t="s">
        <v>121</v>
      </c>
      <c r="F17" s="179" t="s">
        <v>122</v>
      </c>
      <c r="G17" s="182">
        <v>23</v>
      </c>
      <c r="H17" s="183"/>
      <c r="I17" s="183">
        <f t="shared" si="0"/>
        <v>0</v>
      </c>
      <c r="J17" s="184">
        <v>0</v>
      </c>
      <c r="K17" s="185">
        <f t="shared" si="1"/>
        <v>0</v>
      </c>
      <c r="L17" s="184">
        <v>0</v>
      </c>
      <c r="M17" s="185">
        <f t="shared" si="2"/>
        <v>0</v>
      </c>
      <c r="N17" s="186">
        <v>21</v>
      </c>
      <c r="O17" s="187">
        <v>4</v>
      </c>
      <c r="P17" s="13" t="s">
        <v>120</v>
      </c>
      <c r="U17" s="188">
        <v>0.01</v>
      </c>
      <c r="V17" s="188">
        <f t="shared" si="3"/>
        <v>0.23</v>
      </c>
      <c r="W17" s="188"/>
      <c r="X17" s="188">
        <f t="shared" si="4"/>
        <v>0</v>
      </c>
    </row>
    <row r="18" spans="1:24" s="13" customFormat="1" ht="13.5" customHeight="1">
      <c r="A18" s="179">
        <v>3</v>
      </c>
      <c r="B18" s="179" t="s">
        <v>116</v>
      </c>
      <c r="C18" s="179" t="s">
        <v>117</v>
      </c>
      <c r="D18" s="180"/>
      <c r="E18" s="181" t="s">
        <v>123</v>
      </c>
      <c r="F18" s="179" t="s">
        <v>124</v>
      </c>
      <c r="G18" s="182">
        <v>35.28</v>
      </c>
      <c r="H18" s="183"/>
      <c r="I18" s="183">
        <f t="shared" si="0"/>
        <v>0</v>
      </c>
      <c r="J18" s="184">
        <v>0</v>
      </c>
      <c r="K18" s="185">
        <f t="shared" si="1"/>
        <v>0</v>
      </c>
      <c r="L18" s="184">
        <v>0</v>
      </c>
      <c r="M18" s="185">
        <f t="shared" si="2"/>
        <v>0</v>
      </c>
      <c r="N18" s="186">
        <v>21</v>
      </c>
      <c r="O18" s="187">
        <v>4</v>
      </c>
      <c r="P18" s="13" t="s">
        <v>120</v>
      </c>
      <c r="U18" s="188">
        <v>0.04</v>
      </c>
      <c r="V18" s="188">
        <f t="shared" si="3"/>
        <v>1.4112</v>
      </c>
      <c r="W18" s="188"/>
      <c r="X18" s="188">
        <f t="shared" si="4"/>
        <v>0</v>
      </c>
    </row>
    <row r="19" spans="1:24" s="13" customFormat="1" ht="13.5" customHeight="1">
      <c r="A19" s="179">
        <v>4</v>
      </c>
      <c r="B19" s="179" t="s">
        <v>116</v>
      </c>
      <c r="C19" s="179" t="s">
        <v>117</v>
      </c>
      <c r="D19" s="180"/>
      <c r="E19" s="181" t="s">
        <v>125</v>
      </c>
      <c r="F19" s="179" t="s">
        <v>122</v>
      </c>
      <c r="G19" s="182">
        <v>23</v>
      </c>
      <c r="H19" s="183"/>
      <c r="I19" s="183">
        <f t="shared" si="0"/>
        <v>0</v>
      </c>
      <c r="J19" s="184">
        <v>0</v>
      </c>
      <c r="K19" s="185">
        <f t="shared" si="1"/>
        <v>0</v>
      </c>
      <c r="L19" s="184">
        <v>0</v>
      </c>
      <c r="M19" s="185">
        <f t="shared" si="2"/>
        <v>0</v>
      </c>
      <c r="N19" s="186">
        <v>21</v>
      </c>
      <c r="O19" s="187">
        <v>4</v>
      </c>
      <c r="P19" s="13" t="s">
        <v>120</v>
      </c>
      <c r="U19" s="188">
        <v>0.032</v>
      </c>
      <c r="V19" s="188">
        <f t="shared" si="3"/>
        <v>0.736</v>
      </c>
      <c r="W19" s="188"/>
      <c r="X19" s="188">
        <f t="shared" si="4"/>
        <v>0</v>
      </c>
    </row>
    <row r="20" spans="1:24" s="13" customFormat="1" ht="13.5" customHeight="1">
      <c r="A20" s="179">
        <v>5</v>
      </c>
      <c r="B20" s="179" t="s">
        <v>116</v>
      </c>
      <c r="C20" s="179" t="s">
        <v>126</v>
      </c>
      <c r="D20" s="180"/>
      <c r="E20" s="181" t="s">
        <v>127</v>
      </c>
      <c r="F20" s="179" t="s">
        <v>124</v>
      </c>
      <c r="G20" s="182">
        <v>57.91</v>
      </c>
      <c r="H20" s="183"/>
      <c r="I20" s="183">
        <f t="shared" si="0"/>
        <v>0</v>
      </c>
      <c r="J20" s="184">
        <v>0.00704</v>
      </c>
      <c r="K20" s="185">
        <f t="shared" si="1"/>
        <v>0.4076864</v>
      </c>
      <c r="L20" s="184">
        <v>0</v>
      </c>
      <c r="M20" s="185">
        <f t="shared" si="2"/>
        <v>0</v>
      </c>
      <c r="N20" s="186">
        <v>21</v>
      </c>
      <c r="O20" s="187">
        <v>4</v>
      </c>
      <c r="P20" s="13" t="s">
        <v>120</v>
      </c>
      <c r="U20" s="188">
        <f>0.018*0.6</f>
        <v>0.010799999999999999</v>
      </c>
      <c r="V20" s="188">
        <f t="shared" si="3"/>
        <v>0.6254279999999999</v>
      </c>
      <c r="W20" s="188"/>
      <c r="X20" s="188">
        <f t="shared" si="4"/>
        <v>0</v>
      </c>
    </row>
    <row r="21" spans="1:24" s="13" customFormat="1" ht="23.25" customHeight="1">
      <c r="A21" s="179">
        <v>6</v>
      </c>
      <c r="B21" s="179" t="s">
        <v>116</v>
      </c>
      <c r="C21" s="179" t="s">
        <v>117</v>
      </c>
      <c r="D21" s="180" t="s">
        <v>128</v>
      </c>
      <c r="E21" s="181" t="s">
        <v>129</v>
      </c>
      <c r="F21" s="179" t="s">
        <v>119</v>
      </c>
      <c r="G21" s="182">
        <v>112</v>
      </c>
      <c r="H21" s="183"/>
      <c r="I21" s="183">
        <f t="shared" si="0"/>
        <v>0</v>
      </c>
      <c r="J21" s="184">
        <v>0</v>
      </c>
      <c r="K21" s="185">
        <f t="shared" si="1"/>
        <v>0</v>
      </c>
      <c r="L21" s="184">
        <v>0</v>
      </c>
      <c r="M21" s="185">
        <f t="shared" si="2"/>
        <v>0</v>
      </c>
      <c r="N21" s="186">
        <v>21</v>
      </c>
      <c r="O21" s="187">
        <v>4</v>
      </c>
      <c r="P21" s="13" t="s">
        <v>120</v>
      </c>
      <c r="U21" s="188">
        <v>0.0729</v>
      </c>
      <c r="V21" s="188">
        <f t="shared" si="3"/>
        <v>8.164800000000001</v>
      </c>
      <c r="W21" s="188"/>
      <c r="X21" s="188">
        <f t="shared" si="4"/>
        <v>0</v>
      </c>
    </row>
    <row r="22" spans="1:24" s="13" customFormat="1" ht="13.5" customHeight="1">
      <c r="A22" s="179">
        <v>7</v>
      </c>
      <c r="B22" s="179" t="s">
        <v>116</v>
      </c>
      <c r="C22" s="179" t="s">
        <v>117</v>
      </c>
      <c r="D22" s="189" t="s">
        <v>130</v>
      </c>
      <c r="E22" s="190" t="s">
        <v>131</v>
      </c>
      <c r="F22" s="179" t="s">
        <v>119</v>
      </c>
      <c r="G22" s="182">
        <f>G19*0.8+G20*0.9</f>
        <v>70.519</v>
      </c>
      <c r="H22" s="183"/>
      <c r="I22" s="183">
        <f t="shared" si="0"/>
        <v>0</v>
      </c>
      <c r="J22" s="184">
        <v>0</v>
      </c>
      <c r="K22" s="185">
        <f t="shared" si="1"/>
        <v>0</v>
      </c>
      <c r="L22" s="184">
        <v>0</v>
      </c>
      <c r="M22" s="185">
        <f t="shared" si="2"/>
        <v>0</v>
      </c>
      <c r="N22" s="186">
        <v>21</v>
      </c>
      <c r="O22" s="187">
        <v>4</v>
      </c>
      <c r="P22" s="13" t="s">
        <v>120</v>
      </c>
      <c r="U22" s="188"/>
      <c r="V22" s="188">
        <f t="shared" si="3"/>
        <v>0</v>
      </c>
      <c r="W22" s="188"/>
      <c r="X22" s="188">
        <f t="shared" si="4"/>
        <v>0</v>
      </c>
    </row>
    <row r="23" spans="1:24" s="13" customFormat="1" ht="13.5" customHeight="1">
      <c r="A23" s="179">
        <v>8</v>
      </c>
      <c r="B23" s="179" t="s">
        <v>116</v>
      </c>
      <c r="C23" s="179" t="s">
        <v>117</v>
      </c>
      <c r="D23" s="180" t="s">
        <v>132</v>
      </c>
      <c r="E23" s="181" t="s">
        <v>133</v>
      </c>
      <c r="F23" s="179" t="s">
        <v>119</v>
      </c>
      <c r="G23" s="182">
        <v>141.56</v>
      </c>
      <c r="H23" s="183"/>
      <c r="I23" s="183">
        <f t="shared" si="0"/>
        <v>0</v>
      </c>
      <c r="J23" s="184">
        <v>0</v>
      </c>
      <c r="K23" s="185">
        <f t="shared" si="1"/>
        <v>0</v>
      </c>
      <c r="L23" s="184">
        <v>0</v>
      </c>
      <c r="M23" s="185">
        <f t="shared" si="2"/>
        <v>0</v>
      </c>
      <c r="N23" s="186">
        <v>21</v>
      </c>
      <c r="O23" s="187">
        <v>4</v>
      </c>
      <c r="P23" s="13" t="s">
        <v>120</v>
      </c>
      <c r="U23" s="188">
        <v>3E-05</v>
      </c>
      <c r="V23" s="188">
        <f t="shared" si="3"/>
        <v>0.0042468</v>
      </c>
      <c r="W23" s="188"/>
      <c r="X23" s="188">
        <f t="shared" si="4"/>
        <v>0</v>
      </c>
    </row>
    <row r="24" spans="1:24" s="13" customFormat="1" ht="13.5" customHeight="1">
      <c r="A24" s="179">
        <v>9</v>
      </c>
      <c r="B24" s="179" t="s">
        <v>116</v>
      </c>
      <c r="C24" s="179" t="s">
        <v>117</v>
      </c>
      <c r="D24" s="189" t="s">
        <v>134</v>
      </c>
      <c r="E24" s="181" t="s">
        <v>135</v>
      </c>
      <c r="F24" s="179" t="s">
        <v>119</v>
      </c>
      <c r="G24" s="182">
        <f>G23</f>
        <v>141.56</v>
      </c>
      <c r="H24" s="183"/>
      <c r="I24" s="183">
        <f t="shared" si="0"/>
        <v>0</v>
      </c>
      <c r="J24" s="184">
        <v>0</v>
      </c>
      <c r="K24" s="185">
        <f t="shared" si="1"/>
        <v>0</v>
      </c>
      <c r="L24" s="184">
        <v>0</v>
      </c>
      <c r="M24" s="185">
        <f t="shared" si="2"/>
        <v>0</v>
      </c>
      <c r="N24" s="186">
        <v>21</v>
      </c>
      <c r="O24" s="187">
        <v>4</v>
      </c>
      <c r="P24" s="13" t="s">
        <v>120</v>
      </c>
      <c r="U24" s="188"/>
      <c r="V24" s="188">
        <f t="shared" si="3"/>
        <v>0</v>
      </c>
      <c r="W24" s="188">
        <v>0.012</v>
      </c>
      <c r="X24" s="188">
        <f t="shared" si="4"/>
        <v>1.69872</v>
      </c>
    </row>
    <row r="25" spans="1:24" s="13" customFormat="1" ht="13.5" customHeight="1">
      <c r="A25" s="179">
        <v>10</v>
      </c>
      <c r="B25" s="179" t="s">
        <v>116</v>
      </c>
      <c r="C25" s="179" t="s">
        <v>117</v>
      </c>
      <c r="D25" s="180" t="s">
        <v>136</v>
      </c>
      <c r="E25" s="190" t="s">
        <v>137</v>
      </c>
      <c r="F25" s="179" t="s">
        <v>119</v>
      </c>
      <c r="G25" s="182">
        <f>G23</f>
        <v>141.56</v>
      </c>
      <c r="H25" s="183"/>
      <c r="I25" s="183">
        <f t="shared" si="0"/>
        <v>0</v>
      </c>
      <c r="J25" s="184">
        <v>0</v>
      </c>
      <c r="K25" s="185">
        <f t="shared" si="1"/>
        <v>0</v>
      </c>
      <c r="L25" s="184">
        <v>0</v>
      </c>
      <c r="M25" s="185">
        <f t="shared" si="2"/>
        <v>0</v>
      </c>
      <c r="N25" s="186">
        <v>21</v>
      </c>
      <c r="O25" s="187">
        <v>4</v>
      </c>
      <c r="P25" s="13" t="s">
        <v>120</v>
      </c>
      <c r="U25" s="188">
        <v>0.01289</v>
      </c>
      <c r="V25" s="188">
        <f t="shared" si="3"/>
        <v>1.8247084</v>
      </c>
      <c r="W25" s="188"/>
      <c r="X25" s="188">
        <f t="shared" si="4"/>
        <v>0</v>
      </c>
    </row>
    <row r="26" spans="1:24" s="13" customFormat="1" ht="13.5" customHeight="1">
      <c r="A26" s="179">
        <v>11</v>
      </c>
      <c r="B26" s="179" t="s">
        <v>116</v>
      </c>
      <c r="C26" s="179" t="s">
        <v>117</v>
      </c>
      <c r="D26" s="189" t="s">
        <v>138</v>
      </c>
      <c r="E26" s="190" t="s">
        <v>139</v>
      </c>
      <c r="F26" s="179" t="s">
        <v>119</v>
      </c>
      <c r="G26" s="182">
        <f>G23</f>
        <v>141.56</v>
      </c>
      <c r="H26" s="183"/>
      <c r="I26" s="183">
        <f t="shared" si="0"/>
        <v>0</v>
      </c>
      <c r="J26" s="184">
        <v>0</v>
      </c>
      <c r="K26" s="185">
        <f t="shared" si="1"/>
        <v>0</v>
      </c>
      <c r="L26" s="184">
        <v>0</v>
      </c>
      <c r="M26" s="185">
        <f t="shared" si="2"/>
        <v>0</v>
      </c>
      <c r="N26" s="186">
        <v>21</v>
      </c>
      <c r="O26" s="187">
        <v>4</v>
      </c>
      <c r="P26" s="13" t="s">
        <v>120</v>
      </c>
      <c r="U26" s="188"/>
      <c r="V26" s="188">
        <f t="shared" si="3"/>
        <v>0</v>
      </c>
      <c r="W26" s="188"/>
      <c r="X26" s="188">
        <f t="shared" si="4"/>
        <v>0</v>
      </c>
    </row>
    <row r="27" spans="1:24" s="13" customFormat="1" ht="27" customHeight="1">
      <c r="A27" s="179">
        <v>12</v>
      </c>
      <c r="B27" s="179" t="s">
        <v>116</v>
      </c>
      <c r="C27" s="179" t="s">
        <v>126</v>
      </c>
      <c r="D27" s="180"/>
      <c r="E27" s="181" t="s">
        <v>140</v>
      </c>
      <c r="F27" s="179" t="s">
        <v>122</v>
      </c>
      <c r="G27" s="182">
        <v>30</v>
      </c>
      <c r="H27" s="183"/>
      <c r="I27" s="183">
        <f t="shared" si="0"/>
        <v>0</v>
      </c>
      <c r="J27" s="184">
        <v>0.00704</v>
      </c>
      <c r="K27" s="185">
        <f t="shared" si="1"/>
        <v>0.2112</v>
      </c>
      <c r="L27" s="184">
        <v>0</v>
      </c>
      <c r="M27" s="185">
        <f t="shared" si="2"/>
        <v>0</v>
      </c>
      <c r="N27" s="186">
        <v>21</v>
      </c>
      <c r="O27" s="187">
        <v>4</v>
      </c>
      <c r="P27" s="13" t="s">
        <v>120</v>
      </c>
      <c r="U27" s="188">
        <f>0.032*0.7</f>
        <v>0.0224</v>
      </c>
      <c r="V27" s="188">
        <f t="shared" si="3"/>
        <v>0.672</v>
      </c>
      <c r="W27" s="188"/>
      <c r="X27" s="188">
        <f t="shared" si="4"/>
        <v>0</v>
      </c>
    </row>
    <row r="28" spans="1:24" s="13" customFormat="1" ht="13.5" customHeight="1">
      <c r="A28" s="179">
        <v>13</v>
      </c>
      <c r="B28" s="179" t="s">
        <v>116</v>
      </c>
      <c r="C28" s="179" t="s">
        <v>117</v>
      </c>
      <c r="D28" s="180"/>
      <c r="E28" s="181" t="s">
        <v>141</v>
      </c>
      <c r="F28" s="179" t="s">
        <v>119</v>
      </c>
      <c r="G28" s="182">
        <v>83.82</v>
      </c>
      <c r="H28" s="183"/>
      <c r="I28" s="183">
        <f t="shared" si="0"/>
        <v>0</v>
      </c>
      <c r="J28" s="184">
        <v>0</v>
      </c>
      <c r="K28" s="185">
        <f t="shared" si="1"/>
        <v>0</v>
      </c>
      <c r="L28" s="184">
        <v>0</v>
      </c>
      <c r="M28" s="185">
        <f t="shared" si="2"/>
        <v>0</v>
      </c>
      <c r="N28" s="186">
        <v>21</v>
      </c>
      <c r="O28" s="187">
        <v>4</v>
      </c>
      <c r="P28" s="13" t="s">
        <v>120</v>
      </c>
      <c r="U28" s="188">
        <v>0.035</v>
      </c>
      <c r="V28" s="188">
        <f t="shared" si="3"/>
        <v>2.9337</v>
      </c>
      <c r="W28" s="188"/>
      <c r="X28" s="188">
        <f t="shared" si="4"/>
        <v>0</v>
      </c>
    </row>
    <row r="29" spans="1:24" s="13" customFormat="1" ht="23.25" customHeight="1">
      <c r="A29" s="179">
        <v>14</v>
      </c>
      <c r="B29" s="179" t="s">
        <v>116</v>
      </c>
      <c r="C29" s="179" t="s">
        <v>126</v>
      </c>
      <c r="D29" s="180"/>
      <c r="E29" s="181" t="s">
        <v>142</v>
      </c>
      <c r="F29" s="179" t="s">
        <v>122</v>
      </c>
      <c r="G29" s="182">
        <v>18</v>
      </c>
      <c r="H29" s="183"/>
      <c r="I29" s="183">
        <f t="shared" si="0"/>
        <v>0</v>
      </c>
      <c r="J29" s="184">
        <v>0.00704</v>
      </c>
      <c r="K29" s="185">
        <f t="shared" si="1"/>
        <v>0.12672</v>
      </c>
      <c r="L29" s="184">
        <v>0</v>
      </c>
      <c r="M29" s="185">
        <f t="shared" si="2"/>
        <v>0</v>
      </c>
      <c r="N29" s="186">
        <v>21</v>
      </c>
      <c r="O29" s="187">
        <v>4</v>
      </c>
      <c r="P29" s="13" t="s">
        <v>120</v>
      </c>
      <c r="U29" s="188">
        <f>0.032*0.7</f>
        <v>0.0224</v>
      </c>
      <c r="V29" s="188">
        <f t="shared" si="3"/>
        <v>0.4032</v>
      </c>
      <c r="W29" s="188"/>
      <c r="X29" s="188">
        <f t="shared" si="4"/>
        <v>0</v>
      </c>
    </row>
    <row r="30" spans="1:24" s="13" customFormat="1" ht="13.5" customHeight="1">
      <c r="A30" s="179">
        <v>15</v>
      </c>
      <c r="B30" s="179" t="s">
        <v>116</v>
      </c>
      <c r="C30" s="179" t="s">
        <v>143</v>
      </c>
      <c r="D30" s="180"/>
      <c r="E30" s="181" t="s">
        <v>144</v>
      </c>
      <c r="F30" s="179" t="s">
        <v>119</v>
      </c>
      <c r="G30" s="182">
        <v>76.738</v>
      </c>
      <c r="H30" s="183"/>
      <c r="I30" s="183">
        <f t="shared" si="0"/>
        <v>0</v>
      </c>
      <c r="J30" s="184">
        <v>0.0014</v>
      </c>
      <c r="K30" s="185">
        <f t="shared" si="1"/>
        <v>0.10743319999999999</v>
      </c>
      <c r="L30" s="184">
        <v>0</v>
      </c>
      <c r="M30" s="185">
        <f t="shared" si="2"/>
        <v>0</v>
      </c>
      <c r="N30" s="186">
        <v>21</v>
      </c>
      <c r="O30" s="187">
        <v>4</v>
      </c>
      <c r="P30" s="13" t="s">
        <v>120</v>
      </c>
      <c r="U30" s="188">
        <v>0.008</v>
      </c>
      <c r="V30" s="188">
        <f t="shared" si="3"/>
        <v>0.613904</v>
      </c>
      <c r="W30" s="188"/>
      <c r="X30" s="188">
        <f t="shared" si="4"/>
        <v>0</v>
      </c>
    </row>
    <row r="31" spans="1:24" s="13" customFormat="1" ht="12" customHeight="1">
      <c r="A31" s="179">
        <v>16</v>
      </c>
      <c r="B31" s="179" t="s">
        <v>116</v>
      </c>
      <c r="C31" s="179" t="s">
        <v>117</v>
      </c>
      <c r="D31" s="180"/>
      <c r="E31" s="181" t="s">
        <v>145</v>
      </c>
      <c r="F31" s="179" t="s">
        <v>124</v>
      </c>
      <c r="G31" s="182">
        <v>57.91</v>
      </c>
      <c r="H31" s="183"/>
      <c r="I31" s="183">
        <f t="shared" si="0"/>
        <v>0</v>
      </c>
      <c r="J31" s="184">
        <v>0</v>
      </c>
      <c r="K31" s="185">
        <f t="shared" si="1"/>
        <v>0</v>
      </c>
      <c r="L31" s="184">
        <v>0</v>
      </c>
      <c r="M31" s="185">
        <f t="shared" si="2"/>
        <v>0</v>
      </c>
      <c r="N31" s="186">
        <v>21</v>
      </c>
      <c r="O31" s="187">
        <v>4</v>
      </c>
      <c r="P31" s="13" t="s">
        <v>120</v>
      </c>
      <c r="U31" s="188">
        <f>0.018*0.3</f>
        <v>0.005399999999999999</v>
      </c>
      <c r="V31" s="188">
        <f t="shared" si="3"/>
        <v>0.31271399999999994</v>
      </c>
      <c r="W31" s="188"/>
      <c r="X31" s="188">
        <f t="shared" si="4"/>
        <v>0</v>
      </c>
    </row>
    <row r="32" spans="1:24" s="13" customFormat="1" ht="27" customHeight="1">
      <c r="A32" s="179">
        <v>17</v>
      </c>
      <c r="B32" s="179" t="s">
        <v>116</v>
      </c>
      <c r="C32" s="179" t="s">
        <v>126</v>
      </c>
      <c r="D32" s="180"/>
      <c r="E32" s="181" t="s">
        <v>146</v>
      </c>
      <c r="F32" s="179" t="s">
        <v>124</v>
      </c>
      <c r="G32" s="182">
        <v>9.9</v>
      </c>
      <c r="H32" s="183"/>
      <c r="I32" s="183">
        <f t="shared" si="0"/>
        <v>0</v>
      </c>
      <c r="J32" s="184">
        <v>0.00704</v>
      </c>
      <c r="K32" s="185">
        <f t="shared" si="1"/>
        <v>0.06969600000000001</v>
      </c>
      <c r="L32" s="184">
        <v>0</v>
      </c>
      <c r="M32" s="185">
        <f t="shared" si="2"/>
        <v>0</v>
      </c>
      <c r="N32" s="186">
        <v>21</v>
      </c>
      <c r="O32" s="187">
        <v>4</v>
      </c>
      <c r="P32" s="13" t="s">
        <v>120</v>
      </c>
      <c r="U32" s="188">
        <f>0.018*0.9</f>
        <v>0.0162</v>
      </c>
      <c r="V32" s="188">
        <f t="shared" si="3"/>
        <v>0.16038</v>
      </c>
      <c r="W32" s="188"/>
      <c r="X32" s="188">
        <f t="shared" si="4"/>
        <v>0</v>
      </c>
    </row>
    <row r="33" spans="1:24" s="13" customFormat="1" ht="21" customHeight="1">
      <c r="A33" s="179">
        <v>18</v>
      </c>
      <c r="B33" s="179" t="s">
        <v>116</v>
      </c>
      <c r="C33" s="179" t="s">
        <v>143</v>
      </c>
      <c r="D33" s="180"/>
      <c r="E33" s="190" t="s">
        <v>147</v>
      </c>
      <c r="F33" s="179" t="s">
        <v>124</v>
      </c>
      <c r="G33" s="182">
        <v>9.9</v>
      </c>
      <c r="H33" s="183"/>
      <c r="I33" s="183">
        <f t="shared" si="0"/>
        <v>0</v>
      </c>
      <c r="J33" s="184">
        <v>0.0014</v>
      </c>
      <c r="K33" s="185">
        <f t="shared" si="1"/>
        <v>0.01386</v>
      </c>
      <c r="L33" s="184">
        <v>0</v>
      </c>
      <c r="M33" s="185">
        <f t="shared" si="2"/>
        <v>0</v>
      </c>
      <c r="N33" s="186">
        <v>21</v>
      </c>
      <c r="O33" s="187">
        <v>4</v>
      </c>
      <c r="P33" s="13" t="s">
        <v>120</v>
      </c>
      <c r="U33" s="188">
        <f>0.018*0.65*0.9</f>
        <v>0.010530000000000001</v>
      </c>
      <c r="V33" s="188">
        <f t="shared" si="3"/>
        <v>0.10424700000000002</v>
      </c>
      <c r="W33" s="188"/>
      <c r="X33" s="188">
        <f t="shared" si="4"/>
        <v>0</v>
      </c>
    </row>
    <row r="34" spans="1:24" s="13" customFormat="1" ht="21.75" customHeight="1">
      <c r="A34" s="179">
        <v>19</v>
      </c>
      <c r="B34" s="179" t="s">
        <v>116</v>
      </c>
      <c r="C34" s="179" t="s">
        <v>117</v>
      </c>
      <c r="D34" s="189" t="s">
        <v>148</v>
      </c>
      <c r="E34" s="181" t="s">
        <v>149</v>
      </c>
      <c r="F34" s="179" t="s">
        <v>119</v>
      </c>
      <c r="G34" s="182">
        <v>67.91</v>
      </c>
      <c r="H34" s="183"/>
      <c r="I34" s="183">
        <f t="shared" si="0"/>
        <v>0</v>
      </c>
      <c r="J34" s="184">
        <v>0</v>
      </c>
      <c r="K34" s="185">
        <f t="shared" si="1"/>
        <v>0</v>
      </c>
      <c r="L34" s="184">
        <v>0</v>
      </c>
      <c r="M34" s="185">
        <f t="shared" si="2"/>
        <v>0</v>
      </c>
      <c r="N34" s="186">
        <v>21</v>
      </c>
      <c r="O34" s="187">
        <v>4</v>
      </c>
      <c r="P34" s="13" t="s">
        <v>120</v>
      </c>
      <c r="U34" s="188">
        <v>0.05007</v>
      </c>
      <c r="V34" s="188">
        <f t="shared" si="3"/>
        <v>3.4002537</v>
      </c>
      <c r="W34" s="188"/>
      <c r="X34" s="188">
        <f t="shared" si="4"/>
        <v>0</v>
      </c>
    </row>
    <row r="35" spans="1:24" s="13" customFormat="1" ht="13.5" customHeight="1">
      <c r="A35" s="179">
        <v>20</v>
      </c>
      <c r="B35" s="179" t="s">
        <v>116</v>
      </c>
      <c r="C35" s="179" t="s">
        <v>126</v>
      </c>
      <c r="D35" s="180"/>
      <c r="E35" s="181" t="s">
        <v>150</v>
      </c>
      <c r="F35" s="179" t="s">
        <v>122</v>
      </c>
      <c r="G35" s="182">
        <v>17</v>
      </c>
      <c r="H35" s="183"/>
      <c r="I35" s="183">
        <f t="shared" si="0"/>
        <v>0</v>
      </c>
      <c r="J35" s="184">
        <v>0.00704</v>
      </c>
      <c r="K35" s="185">
        <f t="shared" si="1"/>
        <v>0.11968000000000001</v>
      </c>
      <c r="L35" s="184">
        <v>0</v>
      </c>
      <c r="M35" s="185">
        <f t="shared" si="2"/>
        <v>0</v>
      </c>
      <c r="N35" s="186">
        <v>21</v>
      </c>
      <c r="O35" s="187">
        <v>4</v>
      </c>
      <c r="P35" s="13" t="s">
        <v>120</v>
      </c>
      <c r="U35" s="188">
        <v>0.008</v>
      </c>
      <c r="V35" s="188">
        <f t="shared" si="3"/>
        <v>0.136</v>
      </c>
      <c r="W35" s="188"/>
      <c r="X35" s="188">
        <f t="shared" si="4"/>
        <v>0</v>
      </c>
    </row>
    <row r="36" spans="1:24" s="13" customFormat="1" ht="13.5" customHeight="1">
      <c r="A36" s="179">
        <v>21</v>
      </c>
      <c r="B36" s="179" t="s">
        <v>116</v>
      </c>
      <c r="C36" s="179" t="s">
        <v>143</v>
      </c>
      <c r="D36" s="180"/>
      <c r="E36" s="190" t="s">
        <v>151</v>
      </c>
      <c r="F36" s="191" t="s">
        <v>124</v>
      </c>
      <c r="G36" s="182">
        <v>32.9</v>
      </c>
      <c r="H36" s="183"/>
      <c r="I36" s="183">
        <f t="shared" si="0"/>
        <v>0</v>
      </c>
      <c r="J36" s="184">
        <v>0.0014</v>
      </c>
      <c r="K36" s="185">
        <f t="shared" si="1"/>
        <v>0.04606</v>
      </c>
      <c r="L36" s="184">
        <v>0</v>
      </c>
      <c r="M36" s="185">
        <f t="shared" si="2"/>
        <v>0</v>
      </c>
      <c r="N36" s="186">
        <v>21</v>
      </c>
      <c r="O36" s="187">
        <v>4</v>
      </c>
      <c r="P36" s="13" t="s">
        <v>120</v>
      </c>
      <c r="U36" s="188">
        <f>0.018*0.65*0.9</f>
        <v>0.010530000000000001</v>
      </c>
      <c r="V36" s="188">
        <f t="shared" si="3"/>
        <v>0.34643700000000005</v>
      </c>
      <c r="W36" s="188"/>
      <c r="X36" s="188">
        <f t="shared" si="4"/>
        <v>0</v>
      </c>
    </row>
    <row r="37" spans="1:24" s="13" customFormat="1" ht="13.5" customHeight="1">
      <c r="A37" s="179">
        <v>22</v>
      </c>
      <c r="B37" s="179" t="s">
        <v>116</v>
      </c>
      <c r="C37" s="179" t="s">
        <v>117</v>
      </c>
      <c r="D37" s="180"/>
      <c r="E37" s="181" t="s">
        <v>152</v>
      </c>
      <c r="F37" s="179" t="s">
        <v>119</v>
      </c>
      <c r="G37" s="182">
        <v>17.3</v>
      </c>
      <c r="H37" s="183"/>
      <c r="I37" s="183">
        <f t="shared" si="0"/>
        <v>0</v>
      </c>
      <c r="J37" s="184">
        <v>0</v>
      </c>
      <c r="K37" s="185">
        <f t="shared" si="1"/>
        <v>0</v>
      </c>
      <c r="L37" s="184">
        <v>0</v>
      </c>
      <c r="M37" s="185">
        <f t="shared" si="2"/>
        <v>0</v>
      </c>
      <c r="N37" s="186">
        <v>21</v>
      </c>
      <c r="O37" s="187">
        <v>4</v>
      </c>
      <c r="P37" s="13" t="s">
        <v>120</v>
      </c>
      <c r="U37" s="188">
        <v>0.05</v>
      </c>
      <c r="V37" s="188">
        <f t="shared" si="3"/>
        <v>0.8650000000000001</v>
      </c>
      <c r="W37" s="188"/>
      <c r="X37" s="188">
        <f t="shared" si="4"/>
        <v>0</v>
      </c>
    </row>
    <row r="38" spans="1:24" s="13" customFormat="1" ht="24.75" customHeight="1">
      <c r="A38" s="179">
        <v>23</v>
      </c>
      <c r="B38" s="179" t="s">
        <v>116</v>
      </c>
      <c r="C38" s="179" t="s">
        <v>126</v>
      </c>
      <c r="D38" s="189" t="s">
        <v>153</v>
      </c>
      <c r="E38" s="181" t="s">
        <v>154</v>
      </c>
      <c r="F38" s="179" t="s">
        <v>119</v>
      </c>
      <c r="G38" s="182">
        <v>959.45</v>
      </c>
      <c r="H38" s="183"/>
      <c r="I38" s="183">
        <f t="shared" si="0"/>
        <v>0</v>
      </c>
      <c r="J38" s="184">
        <v>0.00704</v>
      </c>
      <c r="K38" s="185">
        <f t="shared" si="1"/>
        <v>6.7545280000000005</v>
      </c>
      <c r="L38" s="184">
        <v>0</v>
      </c>
      <c r="M38" s="185">
        <f t="shared" si="2"/>
        <v>0</v>
      </c>
      <c r="N38" s="186">
        <v>21</v>
      </c>
      <c r="O38" s="187">
        <v>4</v>
      </c>
      <c r="P38" s="13" t="s">
        <v>120</v>
      </c>
      <c r="U38" s="188">
        <v>0.00046</v>
      </c>
      <c r="V38" s="188">
        <f t="shared" si="3"/>
        <v>0.44134700000000004</v>
      </c>
      <c r="W38" s="188"/>
      <c r="X38" s="188">
        <f t="shared" si="4"/>
        <v>0</v>
      </c>
    </row>
    <row r="39" spans="1:24" s="13" customFormat="1" ht="13.5" customHeight="1">
      <c r="A39" s="179">
        <v>24</v>
      </c>
      <c r="B39" s="179" t="s">
        <v>116</v>
      </c>
      <c r="C39" s="179" t="s">
        <v>143</v>
      </c>
      <c r="D39" s="189" t="s">
        <v>155</v>
      </c>
      <c r="E39" s="181" t="s">
        <v>156</v>
      </c>
      <c r="F39" s="179" t="s">
        <v>119</v>
      </c>
      <c r="G39" s="182">
        <v>959.45</v>
      </c>
      <c r="H39" s="183"/>
      <c r="I39" s="183">
        <f t="shared" si="0"/>
        <v>0</v>
      </c>
      <c r="J39" s="184">
        <v>0.0014</v>
      </c>
      <c r="K39" s="185">
        <f t="shared" si="1"/>
        <v>1.3432300000000001</v>
      </c>
      <c r="L39" s="184">
        <v>0</v>
      </c>
      <c r="M39" s="185">
        <f t="shared" si="2"/>
        <v>0</v>
      </c>
      <c r="N39" s="186">
        <v>21</v>
      </c>
      <c r="O39" s="187">
        <v>4</v>
      </c>
      <c r="P39" s="13" t="s">
        <v>120</v>
      </c>
      <c r="U39" s="188">
        <v>0.00012</v>
      </c>
      <c r="V39" s="188">
        <f t="shared" si="3"/>
        <v>0.11513400000000001</v>
      </c>
      <c r="W39" s="188"/>
      <c r="X39" s="188">
        <f t="shared" si="4"/>
        <v>0</v>
      </c>
    </row>
    <row r="40" spans="1:24" s="13" customFormat="1" ht="13.5" customHeight="1">
      <c r="A40" s="179">
        <v>25</v>
      </c>
      <c r="B40" s="179" t="s">
        <v>116</v>
      </c>
      <c r="C40" s="179" t="s">
        <v>117</v>
      </c>
      <c r="D40" s="180"/>
      <c r="E40" s="181" t="s">
        <v>157</v>
      </c>
      <c r="F40" s="179" t="s">
        <v>119</v>
      </c>
      <c r="G40" s="182">
        <v>12.5</v>
      </c>
      <c r="H40" s="183"/>
      <c r="I40" s="183">
        <f t="shared" si="0"/>
        <v>0</v>
      </c>
      <c r="J40" s="184">
        <v>0</v>
      </c>
      <c r="K40" s="185">
        <f t="shared" si="1"/>
        <v>0</v>
      </c>
      <c r="L40" s="184">
        <v>0</v>
      </c>
      <c r="M40" s="185">
        <f t="shared" si="2"/>
        <v>0</v>
      </c>
      <c r="N40" s="186">
        <v>21</v>
      </c>
      <c r="O40" s="187">
        <v>4</v>
      </c>
      <c r="P40" s="13" t="s">
        <v>120</v>
      </c>
      <c r="U40" s="188">
        <v>0.035</v>
      </c>
      <c r="V40" s="188">
        <f t="shared" si="3"/>
        <v>0.43750000000000006</v>
      </c>
      <c r="W40" s="188"/>
      <c r="X40" s="188">
        <f t="shared" si="4"/>
        <v>0</v>
      </c>
    </row>
    <row r="41" spans="1:24" s="13" customFormat="1" ht="13.5" customHeight="1">
      <c r="A41" s="179">
        <v>26</v>
      </c>
      <c r="B41" s="179" t="s">
        <v>116</v>
      </c>
      <c r="C41" s="179" t="s">
        <v>126</v>
      </c>
      <c r="D41" s="180"/>
      <c r="E41" s="181" t="s">
        <v>158</v>
      </c>
      <c r="F41" s="179" t="s">
        <v>119</v>
      </c>
      <c r="G41" s="192">
        <f>G40</f>
        <v>12.5</v>
      </c>
      <c r="H41" s="183"/>
      <c r="I41" s="183">
        <f t="shared" si="0"/>
        <v>0</v>
      </c>
      <c r="J41" s="184">
        <v>0.00704</v>
      </c>
      <c r="K41" s="185">
        <f t="shared" si="1"/>
        <v>0.08800000000000001</v>
      </c>
      <c r="L41" s="184">
        <v>0</v>
      </c>
      <c r="M41" s="185">
        <f t="shared" si="2"/>
        <v>0</v>
      </c>
      <c r="N41" s="186">
        <v>21</v>
      </c>
      <c r="O41" s="187">
        <v>4</v>
      </c>
      <c r="P41" s="13" t="s">
        <v>120</v>
      </c>
      <c r="U41" s="188">
        <v>0.0005</v>
      </c>
      <c r="V41" s="188">
        <f t="shared" si="3"/>
        <v>0.00625</v>
      </c>
      <c r="W41" s="188"/>
      <c r="X41" s="188">
        <f t="shared" si="4"/>
        <v>0</v>
      </c>
    </row>
    <row r="42" spans="1:24" s="13" customFormat="1" ht="35.25" customHeight="1">
      <c r="A42" s="179">
        <v>27</v>
      </c>
      <c r="B42" s="179" t="s">
        <v>116</v>
      </c>
      <c r="C42" s="179" t="s">
        <v>143</v>
      </c>
      <c r="D42" s="180" t="s">
        <v>159</v>
      </c>
      <c r="E42" s="181" t="s">
        <v>160</v>
      </c>
      <c r="F42" s="179" t="s">
        <v>119</v>
      </c>
      <c r="G42" s="182">
        <v>524.857</v>
      </c>
      <c r="H42" s="183"/>
      <c r="I42" s="183">
        <f t="shared" si="0"/>
        <v>0</v>
      </c>
      <c r="J42" s="184">
        <v>0.0014</v>
      </c>
      <c r="K42" s="185">
        <f t="shared" si="1"/>
        <v>0.7347998</v>
      </c>
      <c r="L42" s="184">
        <v>0</v>
      </c>
      <c r="M42" s="185">
        <f t="shared" si="2"/>
        <v>0</v>
      </c>
      <c r="N42" s="186">
        <v>21</v>
      </c>
      <c r="O42" s="187">
        <v>4</v>
      </c>
      <c r="P42" s="13" t="s">
        <v>120</v>
      </c>
      <c r="U42" s="188">
        <v>0.00598</v>
      </c>
      <c r="V42" s="188">
        <f t="shared" si="3"/>
        <v>3.13864486</v>
      </c>
      <c r="W42" s="188"/>
      <c r="X42" s="188">
        <f t="shared" si="4"/>
        <v>0</v>
      </c>
    </row>
    <row r="43" spans="1:24" s="13" customFormat="1" ht="13.5" customHeight="1">
      <c r="A43" s="179">
        <v>28</v>
      </c>
      <c r="B43" s="179" t="s">
        <v>116</v>
      </c>
      <c r="C43" s="179" t="s">
        <v>117</v>
      </c>
      <c r="D43" s="193" t="s">
        <v>161</v>
      </c>
      <c r="E43" s="181" t="s">
        <v>162</v>
      </c>
      <c r="F43" s="179" t="s">
        <v>119</v>
      </c>
      <c r="G43" s="192">
        <f>1.2*2.1*(22*3-1)+0.9*2.1*4</f>
        <v>171.36</v>
      </c>
      <c r="H43" s="183"/>
      <c r="I43" s="183">
        <f t="shared" si="0"/>
        <v>0</v>
      </c>
      <c r="J43" s="184">
        <v>0</v>
      </c>
      <c r="K43" s="185">
        <f t="shared" si="1"/>
        <v>0</v>
      </c>
      <c r="L43" s="184">
        <v>0</v>
      </c>
      <c r="M43" s="185">
        <f t="shared" si="2"/>
        <v>0</v>
      </c>
      <c r="N43" s="186">
        <v>21</v>
      </c>
      <c r="O43" s="187">
        <v>4</v>
      </c>
      <c r="P43" s="13" t="s">
        <v>120</v>
      </c>
      <c r="U43" s="188">
        <v>4E-05</v>
      </c>
      <c r="V43" s="188">
        <f t="shared" si="3"/>
        <v>0.006854400000000001</v>
      </c>
      <c r="W43" s="188"/>
      <c r="X43" s="188">
        <f t="shared" si="4"/>
        <v>0</v>
      </c>
    </row>
    <row r="44" spans="1:24" s="13" customFormat="1" ht="24" customHeight="1">
      <c r="A44" s="146"/>
      <c r="B44" s="147" t="s">
        <v>63</v>
      </c>
      <c r="C44" s="146"/>
      <c r="D44" s="148" t="s">
        <v>163</v>
      </c>
      <c r="E44" s="177" t="s">
        <v>164</v>
      </c>
      <c r="F44" s="146"/>
      <c r="G44" s="146"/>
      <c r="H44" s="146"/>
      <c r="I44" s="149">
        <f>SUM(I45:I56)</f>
        <v>0</v>
      </c>
      <c r="J44" s="146"/>
      <c r="K44" s="150">
        <f>K54+SUM(K55:K58)</f>
        <v>0</v>
      </c>
      <c r="L44" s="146"/>
      <c r="M44" s="150">
        <f>M54+SUM(M55:M58)</f>
        <v>0</v>
      </c>
      <c r="N44" s="146"/>
      <c r="O44" s="146"/>
      <c r="P44" s="148" t="s">
        <v>115</v>
      </c>
      <c r="Q44" s="146"/>
      <c r="R44" s="146"/>
      <c r="S44" s="146"/>
      <c r="T44" s="146"/>
      <c r="U44" s="194"/>
      <c r="V44" s="195">
        <f>SUM(V45:V56)</f>
        <v>40.42240940000001</v>
      </c>
      <c r="X44" s="195">
        <f>SUM(X45:X56)</f>
        <v>11.428174</v>
      </c>
    </row>
    <row r="45" spans="1:24" s="13" customFormat="1" ht="26.25" customHeight="1">
      <c r="A45" s="179">
        <v>29</v>
      </c>
      <c r="B45" s="179" t="s">
        <v>116</v>
      </c>
      <c r="C45" s="179" t="s">
        <v>165</v>
      </c>
      <c r="D45" s="196" t="s">
        <v>166</v>
      </c>
      <c r="E45" s="181" t="s">
        <v>167</v>
      </c>
      <c r="F45" s="179" t="s">
        <v>119</v>
      </c>
      <c r="G45" s="182">
        <v>1525.938</v>
      </c>
      <c r="H45" s="197"/>
      <c r="I45" s="183">
        <f aca="true" t="shared" si="5" ref="I45:I56">ROUND(G45*H45,2)</f>
        <v>0</v>
      </c>
      <c r="J45" s="184">
        <v>0</v>
      </c>
      <c r="K45" s="185">
        <f aca="true" t="shared" si="6" ref="K45:K54">G45*J45</f>
        <v>0</v>
      </c>
      <c r="L45" s="184">
        <v>0</v>
      </c>
      <c r="M45" s="185">
        <f aca="true" t="shared" si="7" ref="M45:M54">G45*L45</f>
        <v>0</v>
      </c>
      <c r="N45" s="186">
        <v>21</v>
      </c>
      <c r="O45" s="187">
        <v>4</v>
      </c>
      <c r="P45" s="13" t="s">
        <v>120</v>
      </c>
      <c r="U45" s="188">
        <v>0.02426</v>
      </c>
      <c r="V45" s="188">
        <f aca="true" t="shared" si="8" ref="V45:V56">G45*U45</f>
        <v>37.01925588</v>
      </c>
      <c r="W45" s="198"/>
      <c r="X45" s="188">
        <f aca="true" t="shared" si="9" ref="X45:X50">G45*W45</f>
        <v>0</v>
      </c>
    </row>
    <row r="46" spans="1:24" s="13" customFormat="1" ht="25.5" customHeight="1">
      <c r="A46" s="179">
        <v>30</v>
      </c>
      <c r="B46" s="179" t="s">
        <v>116</v>
      </c>
      <c r="C46" s="179" t="s">
        <v>165</v>
      </c>
      <c r="D46" s="199" t="s">
        <v>168</v>
      </c>
      <c r="E46" s="181" t="s">
        <v>169</v>
      </c>
      <c r="F46" s="179" t="s">
        <v>119</v>
      </c>
      <c r="G46" s="182">
        <v>3051.876</v>
      </c>
      <c r="H46" s="197"/>
      <c r="I46" s="183">
        <f t="shared" si="5"/>
        <v>0</v>
      </c>
      <c r="J46" s="184">
        <v>0</v>
      </c>
      <c r="K46" s="185">
        <f t="shared" si="6"/>
        <v>0</v>
      </c>
      <c r="L46" s="184">
        <v>0</v>
      </c>
      <c r="M46" s="185">
        <f t="shared" si="7"/>
        <v>0</v>
      </c>
      <c r="N46" s="186">
        <v>21</v>
      </c>
      <c r="O46" s="187">
        <v>4</v>
      </c>
      <c r="P46" s="13" t="s">
        <v>120</v>
      </c>
      <c r="U46" s="188">
        <v>0.00102</v>
      </c>
      <c r="V46" s="188">
        <f t="shared" si="8"/>
        <v>3.11291352</v>
      </c>
      <c r="W46" s="198"/>
      <c r="X46" s="188">
        <f t="shared" si="9"/>
        <v>0</v>
      </c>
    </row>
    <row r="47" spans="1:24" s="13" customFormat="1" ht="30" customHeight="1">
      <c r="A47" s="179">
        <v>31</v>
      </c>
      <c r="B47" s="179" t="s">
        <v>116</v>
      </c>
      <c r="C47" s="179" t="s">
        <v>165</v>
      </c>
      <c r="D47" s="199" t="s">
        <v>170</v>
      </c>
      <c r="E47" s="181" t="s">
        <v>171</v>
      </c>
      <c r="F47" s="179" t="s">
        <v>119</v>
      </c>
      <c r="G47" s="182">
        <f>G45</f>
        <v>1525.938</v>
      </c>
      <c r="H47" s="197"/>
      <c r="I47" s="183">
        <f t="shared" si="5"/>
        <v>0</v>
      </c>
      <c r="J47" s="184">
        <v>0</v>
      </c>
      <c r="K47" s="185">
        <f t="shared" si="6"/>
        <v>0</v>
      </c>
      <c r="L47" s="184">
        <v>0</v>
      </c>
      <c r="M47" s="185">
        <f t="shared" si="7"/>
        <v>0</v>
      </c>
      <c r="N47" s="186">
        <v>21</v>
      </c>
      <c r="O47" s="187">
        <v>4</v>
      </c>
      <c r="P47" s="13" t="s">
        <v>120</v>
      </c>
      <c r="U47" s="188"/>
      <c r="V47" s="188">
        <f t="shared" si="8"/>
        <v>0</v>
      </c>
      <c r="W47" s="198"/>
      <c r="X47" s="188">
        <f t="shared" si="9"/>
        <v>0</v>
      </c>
    </row>
    <row r="48" spans="1:24" s="13" customFormat="1" ht="22.5" customHeight="1">
      <c r="A48" s="179">
        <v>32</v>
      </c>
      <c r="B48" s="179" t="s">
        <v>116</v>
      </c>
      <c r="C48" s="179" t="s">
        <v>165</v>
      </c>
      <c r="D48" s="200" t="s">
        <v>172</v>
      </c>
      <c r="E48" s="181" t="s">
        <v>173</v>
      </c>
      <c r="F48" s="179" t="s">
        <v>119</v>
      </c>
      <c r="G48" s="182">
        <f aca="true" t="shared" si="10" ref="G48:G50">G45</f>
        <v>1525.938</v>
      </c>
      <c r="H48" s="197"/>
      <c r="I48" s="183">
        <f t="shared" si="5"/>
        <v>0</v>
      </c>
      <c r="J48" s="184">
        <v>0</v>
      </c>
      <c r="K48" s="185">
        <f t="shared" si="6"/>
        <v>0</v>
      </c>
      <c r="L48" s="184">
        <v>0</v>
      </c>
      <c r="M48" s="185">
        <f t="shared" si="7"/>
        <v>0</v>
      </c>
      <c r="N48" s="186">
        <v>21</v>
      </c>
      <c r="O48" s="187">
        <v>4</v>
      </c>
      <c r="P48" s="13" t="s">
        <v>120</v>
      </c>
      <c r="U48" s="188"/>
      <c r="V48" s="188">
        <f t="shared" si="8"/>
        <v>0</v>
      </c>
      <c r="W48" s="198"/>
      <c r="X48" s="188">
        <f t="shared" si="9"/>
        <v>0</v>
      </c>
    </row>
    <row r="49" spans="1:24" s="13" customFormat="1" ht="15.75" customHeight="1">
      <c r="A49" s="179">
        <v>33</v>
      </c>
      <c r="B49" s="179" t="s">
        <v>116</v>
      </c>
      <c r="C49" s="179" t="s">
        <v>165</v>
      </c>
      <c r="D49" s="200" t="s">
        <v>174</v>
      </c>
      <c r="E49" s="181" t="s">
        <v>175</v>
      </c>
      <c r="F49" s="179" t="s">
        <v>119</v>
      </c>
      <c r="G49" s="182">
        <f t="shared" si="10"/>
        <v>3051.876</v>
      </c>
      <c r="H49" s="197"/>
      <c r="I49" s="183">
        <f t="shared" si="5"/>
        <v>0</v>
      </c>
      <c r="J49" s="184">
        <v>0</v>
      </c>
      <c r="K49" s="185">
        <f t="shared" si="6"/>
        <v>0</v>
      </c>
      <c r="L49" s="184">
        <v>0</v>
      </c>
      <c r="M49" s="185">
        <f t="shared" si="7"/>
        <v>0</v>
      </c>
      <c r="N49" s="186">
        <v>21</v>
      </c>
      <c r="O49" s="187">
        <v>4</v>
      </c>
      <c r="P49" s="13" t="s">
        <v>120</v>
      </c>
      <c r="U49" s="188"/>
      <c r="V49" s="188">
        <f t="shared" si="8"/>
        <v>0</v>
      </c>
      <c r="W49" s="198"/>
      <c r="X49" s="188">
        <f t="shared" si="9"/>
        <v>0</v>
      </c>
    </row>
    <row r="50" spans="1:24" s="13" customFormat="1" ht="22.5" customHeight="1">
      <c r="A50" s="179">
        <v>34</v>
      </c>
      <c r="B50" s="179" t="s">
        <v>116</v>
      </c>
      <c r="C50" s="179" t="s">
        <v>165</v>
      </c>
      <c r="D50" s="201" t="s">
        <v>176</v>
      </c>
      <c r="E50" s="181" t="s">
        <v>177</v>
      </c>
      <c r="F50" s="179" t="s">
        <v>119</v>
      </c>
      <c r="G50" s="182">
        <f t="shared" si="10"/>
        <v>1525.938</v>
      </c>
      <c r="H50" s="197"/>
      <c r="I50" s="183">
        <f t="shared" si="5"/>
        <v>0</v>
      </c>
      <c r="J50" s="184">
        <v>0</v>
      </c>
      <c r="K50" s="185">
        <f t="shared" si="6"/>
        <v>0</v>
      </c>
      <c r="L50" s="184">
        <v>0</v>
      </c>
      <c r="M50" s="185">
        <f t="shared" si="7"/>
        <v>0</v>
      </c>
      <c r="N50" s="186">
        <v>21</v>
      </c>
      <c r="O50" s="187">
        <v>4</v>
      </c>
      <c r="P50" s="13" t="s">
        <v>120</v>
      </c>
      <c r="U50" s="188"/>
      <c r="V50" s="188">
        <f t="shared" si="8"/>
        <v>0</v>
      </c>
      <c r="W50" s="198"/>
      <c r="X50" s="188">
        <f t="shared" si="9"/>
        <v>0</v>
      </c>
    </row>
    <row r="51" spans="1:24" s="13" customFormat="1" ht="15.75" customHeight="1">
      <c r="A51" s="179">
        <v>35</v>
      </c>
      <c r="B51" s="179" t="s">
        <v>116</v>
      </c>
      <c r="C51" s="179" t="s">
        <v>165</v>
      </c>
      <c r="D51" s="200" t="s">
        <v>178</v>
      </c>
      <c r="E51" s="181" t="s">
        <v>179</v>
      </c>
      <c r="F51" s="179" t="s">
        <v>124</v>
      </c>
      <c r="G51" s="182">
        <v>4</v>
      </c>
      <c r="H51" s="183"/>
      <c r="I51" s="183">
        <f t="shared" si="5"/>
        <v>0</v>
      </c>
      <c r="J51" s="184">
        <v>0</v>
      </c>
      <c r="K51" s="185">
        <f t="shared" si="6"/>
        <v>0</v>
      </c>
      <c r="L51" s="184">
        <v>0</v>
      </c>
      <c r="M51" s="185">
        <f t="shared" si="7"/>
        <v>0</v>
      </c>
      <c r="N51" s="186">
        <v>21</v>
      </c>
      <c r="O51" s="187">
        <v>4</v>
      </c>
      <c r="P51" s="13" t="s">
        <v>120</v>
      </c>
      <c r="U51" s="188">
        <v>0.02482</v>
      </c>
      <c r="V51" s="188">
        <f t="shared" si="8"/>
        <v>0.09928</v>
      </c>
      <c r="W51" s="198"/>
      <c r="X51" s="198"/>
    </row>
    <row r="52" spans="1:24" s="13" customFormat="1" ht="15.75" customHeight="1">
      <c r="A52" s="179">
        <v>36</v>
      </c>
      <c r="B52" s="179" t="s">
        <v>116</v>
      </c>
      <c r="C52" s="179" t="s">
        <v>165</v>
      </c>
      <c r="D52" s="200" t="s">
        <v>180</v>
      </c>
      <c r="E52" s="181" t="s">
        <v>181</v>
      </c>
      <c r="F52" s="179" t="s">
        <v>124</v>
      </c>
      <c r="G52" s="182">
        <f>4*2</f>
        <v>8</v>
      </c>
      <c r="H52" s="183"/>
      <c r="I52" s="183">
        <f t="shared" si="5"/>
        <v>0</v>
      </c>
      <c r="J52" s="184">
        <v>0</v>
      </c>
      <c r="K52" s="185">
        <f t="shared" si="6"/>
        <v>0</v>
      </c>
      <c r="L52" s="184">
        <v>0</v>
      </c>
      <c r="M52" s="185">
        <f t="shared" si="7"/>
        <v>0</v>
      </c>
      <c r="N52" s="186">
        <v>21</v>
      </c>
      <c r="O52" s="187">
        <v>4</v>
      </c>
      <c r="P52" s="13" t="s">
        <v>120</v>
      </c>
      <c r="U52" s="188">
        <v>0.00225</v>
      </c>
      <c r="V52" s="188">
        <f t="shared" si="8"/>
        <v>0.018</v>
      </c>
      <c r="W52" s="198"/>
      <c r="X52" s="198"/>
    </row>
    <row r="53" spans="1:24" s="13" customFormat="1" ht="15.75" customHeight="1">
      <c r="A53" s="179">
        <v>37</v>
      </c>
      <c r="B53" s="179" t="s">
        <v>116</v>
      </c>
      <c r="C53" s="179" t="s">
        <v>165</v>
      </c>
      <c r="D53" s="200" t="s">
        <v>182</v>
      </c>
      <c r="E53" s="190" t="s">
        <v>183</v>
      </c>
      <c r="F53" s="179" t="s">
        <v>124</v>
      </c>
      <c r="G53" s="182">
        <v>4</v>
      </c>
      <c r="H53" s="183"/>
      <c r="I53" s="183">
        <f t="shared" si="5"/>
        <v>0</v>
      </c>
      <c r="J53" s="184">
        <v>0</v>
      </c>
      <c r="K53" s="185">
        <f t="shared" si="6"/>
        <v>0</v>
      </c>
      <c r="L53" s="184">
        <v>0</v>
      </c>
      <c r="M53" s="185">
        <f t="shared" si="7"/>
        <v>0</v>
      </c>
      <c r="N53" s="186">
        <v>21</v>
      </c>
      <c r="O53" s="187">
        <v>4</v>
      </c>
      <c r="P53" s="13" t="s">
        <v>120</v>
      </c>
      <c r="U53" s="188"/>
      <c r="V53" s="188">
        <f t="shared" si="8"/>
        <v>0</v>
      </c>
      <c r="W53" s="198"/>
      <c r="X53" s="198"/>
    </row>
    <row r="54" spans="1:24" s="13" customFormat="1" ht="26.25" customHeight="1">
      <c r="A54" s="179">
        <v>38</v>
      </c>
      <c r="B54" s="179" t="s">
        <v>116</v>
      </c>
      <c r="C54" s="179" t="s">
        <v>165</v>
      </c>
      <c r="D54" s="200" t="s">
        <v>184</v>
      </c>
      <c r="E54" s="181" t="s">
        <v>185</v>
      </c>
      <c r="F54" s="179" t="s">
        <v>119</v>
      </c>
      <c r="G54" s="182">
        <f>116.21+32.597</f>
        <v>148.807</v>
      </c>
      <c r="H54" s="183"/>
      <c r="I54" s="183">
        <f t="shared" si="5"/>
        <v>0</v>
      </c>
      <c r="J54" s="184">
        <v>0</v>
      </c>
      <c r="K54" s="185">
        <f t="shared" si="6"/>
        <v>0</v>
      </c>
      <c r="L54" s="184">
        <v>0</v>
      </c>
      <c r="M54" s="185">
        <f t="shared" si="7"/>
        <v>0</v>
      </c>
      <c r="N54" s="186">
        <v>21</v>
      </c>
      <c r="O54" s="187">
        <v>4</v>
      </c>
      <c r="P54" s="13" t="s">
        <v>120</v>
      </c>
      <c r="U54" s="188"/>
      <c r="V54" s="188">
        <f t="shared" si="8"/>
        <v>0</v>
      </c>
      <c r="W54" s="198">
        <v>0.058</v>
      </c>
      <c r="X54" s="188">
        <f aca="true" t="shared" si="11" ref="X54:X56">G54*W54</f>
        <v>8.630806</v>
      </c>
    </row>
    <row r="55" spans="1:24" s="13" customFormat="1" ht="24" customHeight="1">
      <c r="A55" s="179">
        <v>39</v>
      </c>
      <c r="B55" s="198"/>
      <c r="C55" s="198"/>
      <c r="D55" s="202" t="s">
        <v>186</v>
      </c>
      <c r="E55" s="203" t="s">
        <v>187</v>
      </c>
      <c r="F55" s="179" t="s">
        <v>119</v>
      </c>
      <c r="G55" s="204">
        <v>199.812</v>
      </c>
      <c r="H55" s="205"/>
      <c r="I55" s="183">
        <f t="shared" si="5"/>
        <v>0</v>
      </c>
      <c r="N55" s="186">
        <v>21</v>
      </c>
      <c r="P55" s="206" t="s">
        <v>120</v>
      </c>
      <c r="Q55" s="206" t="s">
        <v>120</v>
      </c>
      <c r="R55" s="206" t="s">
        <v>188</v>
      </c>
      <c r="S55" s="206" t="s">
        <v>115</v>
      </c>
      <c r="U55" s="188"/>
      <c r="V55" s="188">
        <f t="shared" si="8"/>
        <v>0</v>
      </c>
      <c r="W55" s="198">
        <v>0.014</v>
      </c>
      <c r="X55" s="188">
        <f t="shared" si="11"/>
        <v>2.797368</v>
      </c>
    </row>
    <row r="56" spans="1:24" s="13" customFormat="1" ht="25.5" customHeight="1">
      <c r="A56" s="179">
        <v>40</v>
      </c>
      <c r="B56" s="179" t="s">
        <v>116</v>
      </c>
      <c r="C56" s="179" t="s">
        <v>165</v>
      </c>
      <c r="D56" s="207" t="s">
        <v>189</v>
      </c>
      <c r="E56" s="190" t="s">
        <v>190</v>
      </c>
      <c r="F56" s="191" t="s">
        <v>124</v>
      </c>
      <c r="G56" s="192">
        <f>26.4+46+72+4.5+98+25+34+60+66.5</f>
        <v>432.4</v>
      </c>
      <c r="H56" s="183"/>
      <c r="I56" s="183">
        <f t="shared" si="5"/>
        <v>0</v>
      </c>
      <c r="J56" s="184">
        <v>0</v>
      </c>
      <c r="K56" s="185">
        <f>G56*J56</f>
        <v>0</v>
      </c>
      <c r="L56" s="184">
        <v>0</v>
      </c>
      <c r="M56" s="185">
        <f>G56*L56</f>
        <v>0</v>
      </c>
      <c r="N56" s="186">
        <v>21</v>
      </c>
      <c r="O56" s="187">
        <v>4</v>
      </c>
      <c r="P56" s="13" t="s">
        <v>120</v>
      </c>
      <c r="U56" s="188">
        <v>0.0004</v>
      </c>
      <c r="V56" s="188">
        <f t="shared" si="8"/>
        <v>0.17296</v>
      </c>
      <c r="W56" s="198"/>
      <c r="X56" s="188">
        <f t="shared" si="11"/>
        <v>0</v>
      </c>
    </row>
    <row r="57" spans="1:21" s="13" customFormat="1" ht="15.75" customHeight="1">
      <c r="A57" s="208"/>
      <c r="B57" s="208"/>
      <c r="C57" s="208"/>
      <c r="D57" s="209"/>
      <c r="E57" s="210"/>
      <c r="F57" s="208"/>
      <c r="G57" s="185"/>
      <c r="H57" s="205"/>
      <c r="I57" s="205"/>
      <c r="J57" s="184"/>
      <c r="K57" s="185"/>
      <c r="L57" s="184"/>
      <c r="M57" s="185"/>
      <c r="N57" s="186"/>
      <c r="O57" s="187"/>
      <c r="U57" s="194"/>
    </row>
    <row r="58" spans="1:21" s="13" customFormat="1" ht="13.5" customHeight="1">
      <c r="A58" s="146"/>
      <c r="B58" s="151" t="s">
        <v>63</v>
      </c>
      <c r="C58" s="146"/>
      <c r="D58" s="152" t="s">
        <v>191</v>
      </c>
      <c r="E58" s="152" t="s">
        <v>192</v>
      </c>
      <c r="F58" s="146"/>
      <c r="G58" s="146"/>
      <c r="H58" s="146"/>
      <c r="I58" s="153">
        <f>SUM(I59:I67)</f>
        <v>0</v>
      </c>
      <c r="J58" s="146"/>
      <c r="K58" s="154">
        <f>SUM(K59:K66)</f>
        <v>0</v>
      </c>
      <c r="L58" s="146"/>
      <c r="M58" s="154">
        <f>SUM(M59:M66)</f>
        <v>0</v>
      </c>
      <c r="N58" s="146"/>
      <c r="O58" s="146"/>
      <c r="P58" s="152" t="s">
        <v>120</v>
      </c>
      <c r="Q58" s="146"/>
      <c r="R58" s="146"/>
      <c r="S58" s="146"/>
      <c r="T58" s="146"/>
      <c r="U58" s="194"/>
    </row>
    <row r="59" spans="1:21" s="13" customFormat="1" ht="24.75" customHeight="1">
      <c r="A59" s="179">
        <v>41</v>
      </c>
      <c r="B59" s="179" t="s">
        <v>116</v>
      </c>
      <c r="C59" s="179" t="s">
        <v>193</v>
      </c>
      <c r="D59" s="211" t="s">
        <v>194</v>
      </c>
      <c r="E59" s="212" t="s">
        <v>195</v>
      </c>
      <c r="F59" s="179" t="s">
        <v>196</v>
      </c>
      <c r="G59" s="192">
        <f>X15+X44</f>
        <v>13.126894</v>
      </c>
      <c r="H59" s="197"/>
      <c r="I59" s="183">
        <f aca="true" t="shared" si="12" ref="I59:I67">ROUND(G59*H59,2)</f>
        <v>0</v>
      </c>
      <c r="J59" s="184">
        <v>0</v>
      </c>
      <c r="K59" s="185">
        <f aca="true" t="shared" si="13" ref="K59:K67">G59*J59</f>
        <v>0</v>
      </c>
      <c r="L59" s="184">
        <v>0</v>
      </c>
      <c r="M59" s="185">
        <f aca="true" t="shared" si="14" ref="M59:M67">G59*L59</f>
        <v>0</v>
      </c>
      <c r="N59" s="186">
        <v>21</v>
      </c>
      <c r="O59" s="187">
        <v>4</v>
      </c>
      <c r="P59" s="13" t="s">
        <v>197</v>
      </c>
      <c r="U59" s="194"/>
    </row>
    <row r="60" spans="1:21" s="13" customFormat="1" ht="32.25" customHeight="1">
      <c r="A60" s="179">
        <v>42</v>
      </c>
      <c r="B60" s="179" t="s">
        <v>116</v>
      </c>
      <c r="C60" s="179" t="s">
        <v>193</v>
      </c>
      <c r="D60" s="213" t="s">
        <v>198</v>
      </c>
      <c r="E60" s="212" t="s">
        <v>199</v>
      </c>
      <c r="F60" s="179" t="s">
        <v>196</v>
      </c>
      <c r="G60" s="192">
        <f>2*G59</f>
        <v>26.253788</v>
      </c>
      <c r="H60" s="197"/>
      <c r="I60" s="183">
        <f t="shared" si="12"/>
        <v>0</v>
      </c>
      <c r="J60" s="184">
        <v>0</v>
      </c>
      <c r="K60" s="185">
        <f t="shared" si="13"/>
        <v>0</v>
      </c>
      <c r="L60" s="184">
        <v>0</v>
      </c>
      <c r="M60" s="185">
        <f t="shared" si="14"/>
        <v>0</v>
      </c>
      <c r="N60" s="186">
        <v>21</v>
      </c>
      <c r="O60" s="187">
        <v>4</v>
      </c>
      <c r="P60" s="13" t="s">
        <v>197</v>
      </c>
      <c r="U60" s="194"/>
    </row>
    <row r="61" spans="1:21" s="13" customFormat="1" ht="24" customHeight="1">
      <c r="A61" s="179">
        <v>43</v>
      </c>
      <c r="B61" s="179" t="s">
        <v>116</v>
      </c>
      <c r="C61" s="179" t="s">
        <v>193</v>
      </c>
      <c r="D61" s="193" t="s">
        <v>200</v>
      </c>
      <c r="E61" s="212" t="s">
        <v>201</v>
      </c>
      <c r="F61" s="179" t="s">
        <v>196</v>
      </c>
      <c r="G61" s="192">
        <f>G59</f>
        <v>13.126894</v>
      </c>
      <c r="H61" s="183"/>
      <c r="I61" s="183">
        <f t="shared" si="12"/>
        <v>0</v>
      </c>
      <c r="J61" s="184">
        <v>0</v>
      </c>
      <c r="K61" s="185">
        <f t="shared" si="13"/>
        <v>0</v>
      </c>
      <c r="L61" s="184">
        <v>0</v>
      </c>
      <c r="M61" s="185">
        <f t="shared" si="14"/>
        <v>0</v>
      </c>
      <c r="N61" s="186">
        <v>21</v>
      </c>
      <c r="O61" s="187">
        <v>4</v>
      </c>
      <c r="P61" s="13" t="s">
        <v>197</v>
      </c>
      <c r="U61" s="194"/>
    </row>
    <row r="62" spans="1:21" s="13" customFormat="1" ht="13.5" customHeight="1">
      <c r="A62" s="179">
        <v>44</v>
      </c>
      <c r="B62" s="179" t="s">
        <v>116</v>
      </c>
      <c r="C62" s="179" t="s">
        <v>193</v>
      </c>
      <c r="D62" s="193" t="s">
        <v>202</v>
      </c>
      <c r="E62" s="212" t="s">
        <v>203</v>
      </c>
      <c r="F62" s="179" t="s">
        <v>196</v>
      </c>
      <c r="G62" s="192">
        <f>2*G61</f>
        <v>26.253788</v>
      </c>
      <c r="H62" s="183"/>
      <c r="I62" s="183">
        <f t="shared" si="12"/>
        <v>0</v>
      </c>
      <c r="J62" s="184">
        <v>0</v>
      </c>
      <c r="K62" s="185">
        <f t="shared" si="13"/>
        <v>0</v>
      </c>
      <c r="L62" s="184">
        <v>0</v>
      </c>
      <c r="M62" s="185">
        <f t="shared" si="14"/>
        <v>0</v>
      </c>
      <c r="N62" s="186">
        <v>21</v>
      </c>
      <c r="O62" s="187">
        <v>4</v>
      </c>
      <c r="P62" s="13" t="s">
        <v>197</v>
      </c>
      <c r="U62" s="194"/>
    </row>
    <row r="63" spans="1:21" s="13" customFormat="1" ht="15.75" customHeight="1">
      <c r="A63" s="179">
        <v>45</v>
      </c>
      <c r="B63" s="179" t="s">
        <v>116</v>
      </c>
      <c r="C63" s="179" t="s">
        <v>117</v>
      </c>
      <c r="D63" s="214" t="s">
        <v>204</v>
      </c>
      <c r="E63" s="181" t="s">
        <v>205</v>
      </c>
      <c r="F63" s="179" t="s">
        <v>196</v>
      </c>
      <c r="G63" s="192">
        <f>G59</f>
        <v>13.126894</v>
      </c>
      <c r="H63" s="197"/>
      <c r="I63" s="183">
        <f t="shared" si="12"/>
        <v>0</v>
      </c>
      <c r="J63" s="184">
        <v>0</v>
      </c>
      <c r="K63" s="185">
        <f t="shared" si="13"/>
        <v>0</v>
      </c>
      <c r="L63" s="184">
        <v>0</v>
      </c>
      <c r="M63" s="185">
        <f t="shared" si="14"/>
        <v>0</v>
      </c>
      <c r="N63" s="186">
        <v>21</v>
      </c>
      <c r="O63" s="187">
        <v>4</v>
      </c>
      <c r="P63" s="13" t="s">
        <v>120</v>
      </c>
      <c r="U63" s="194"/>
    </row>
    <row r="64" spans="1:21" s="13" customFormat="1" ht="24" customHeight="1">
      <c r="A64" s="179">
        <v>46</v>
      </c>
      <c r="B64" s="179" t="s">
        <v>116</v>
      </c>
      <c r="C64" s="179" t="s">
        <v>193</v>
      </c>
      <c r="D64" s="180" t="s">
        <v>206</v>
      </c>
      <c r="E64" s="212" t="s">
        <v>207</v>
      </c>
      <c r="F64" s="179" t="s">
        <v>196</v>
      </c>
      <c r="G64" s="192">
        <f>G59</f>
        <v>13.126894</v>
      </c>
      <c r="H64" s="183"/>
      <c r="I64" s="183">
        <f t="shared" si="12"/>
        <v>0</v>
      </c>
      <c r="J64" s="184">
        <v>0</v>
      </c>
      <c r="K64" s="185">
        <f t="shared" si="13"/>
        <v>0</v>
      </c>
      <c r="L64" s="184">
        <v>0</v>
      </c>
      <c r="M64" s="185">
        <f t="shared" si="14"/>
        <v>0</v>
      </c>
      <c r="N64" s="186">
        <v>21</v>
      </c>
      <c r="O64" s="187">
        <v>4</v>
      </c>
      <c r="P64" s="13" t="s">
        <v>197</v>
      </c>
      <c r="U64" s="194"/>
    </row>
    <row r="65" spans="1:21" s="13" customFormat="1" ht="24" customHeight="1">
      <c r="A65" s="179">
        <v>47</v>
      </c>
      <c r="B65" s="179" t="s">
        <v>116</v>
      </c>
      <c r="C65" s="179" t="s">
        <v>193</v>
      </c>
      <c r="D65" s="180" t="s">
        <v>208</v>
      </c>
      <c r="E65" s="212" t="s">
        <v>209</v>
      </c>
      <c r="F65" s="179" t="s">
        <v>196</v>
      </c>
      <c r="G65" s="192">
        <f>20*G64</f>
        <v>262.53788</v>
      </c>
      <c r="H65" s="183"/>
      <c r="I65" s="183">
        <f t="shared" si="12"/>
        <v>0</v>
      </c>
      <c r="J65" s="184">
        <v>0</v>
      </c>
      <c r="K65" s="185">
        <f t="shared" si="13"/>
        <v>0</v>
      </c>
      <c r="L65" s="184">
        <v>0</v>
      </c>
      <c r="M65" s="185">
        <f t="shared" si="14"/>
        <v>0</v>
      </c>
      <c r="N65" s="186">
        <v>21</v>
      </c>
      <c r="O65" s="187">
        <v>4</v>
      </c>
      <c r="P65" s="13" t="s">
        <v>197</v>
      </c>
      <c r="U65" s="194"/>
    </row>
    <row r="66" spans="1:21" s="146" customFormat="1" ht="27" customHeight="1">
      <c r="A66" s="179">
        <v>48</v>
      </c>
      <c r="B66" s="179" t="s">
        <v>116</v>
      </c>
      <c r="C66" s="179" t="s">
        <v>193</v>
      </c>
      <c r="D66" s="180" t="s">
        <v>210</v>
      </c>
      <c r="E66" s="212" t="s">
        <v>211</v>
      </c>
      <c r="F66" s="179" t="s">
        <v>196</v>
      </c>
      <c r="G66" s="192">
        <f>G59</f>
        <v>13.126894</v>
      </c>
      <c r="H66" s="183"/>
      <c r="I66" s="183">
        <f t="shared" si="12"/>
        <v>0</v>
      </c>
      <c r="J66" s="184">
        <v>0</v>
      </c>
      <c r="K66" s="185">
        <f t="shared" si="13"/>
        <v>0</v>
      </c>
      <c r="L66" s="184">
        <v>0</v>
      </c>
      <c r="M66" s="185">
        <f t="shared" si="14"/>
        <v>0</v>
      </c>
      <c r="N66" s="186">
        <v>21</v>
      </c>
      <c r="O66" s="187">
        <v>4</v>
      </c>
      <c r="P66" s="13" t="s">
        <v>197</v>
      </c>
      <c r="Q66" s="13"/>
      <c r="R66" s="13"/>
      <c r="S66" s="13"/>
      <c r="T66" s="13"/>
      <c r="U66" s="176"/>
    </row>
    <row r="67" spans="1:21" s="13" customFormat="1" ht="24.75" customHeight="1">
      <c r="A67" s="179">
        <v>49</v>
      </c>
      <c r="B67" s="179" t="s">
        <v>116</v>
      </c>
      <c r="C67" s="179" t="s">
        <v>193</v>
      </c>
      <c r="D67" s="215" t="s">
        <v>212</v>
      </c>
      <c r="E67" s="212" t="s">
        <v>213</v>
      </c>
      <c r="F67" s="179" t="s">
        <v>196</v>
      </c>
      <c r="G67" s="192">
        <f>V15+V44</f>
        <v>72.78115856000002</v>
      </c>
      <c r="H67" s="183"/>
      <c r="I67" s="183">
        <f t="shared" si="12"/>
        <v>0</v>
      </c>
      <c r="J67" s="184">
        <v>0</v>
      </c>
      <c r="K67" s="185">
        <f t="shared" si="13"/>
        <v>0</v>
      </c>
      <c r="L67" s="184">
        <v>0</v>
      </c>
      <c r="M67" s="185">
        <f t="shared" si="14"/>
        <v>0</v>
      </c>
      <c r="N67" s="186">
        <v>21</v>
      </c>
      <c r="O67" s="187">
        <v>4</v>
      </c>
      <c r="P67" s="13" t="s">
        <v>197</v>
      </c>
      <c r="U67" s="194"/>
    </row>
    <row r="68" spans="1:21" s="225" customFormat="1" ht="13.5" customHeight="1">
      <c r="A68" s="216"/>
      <c r="B68" s="216"/>
      <c r="C68" s="216"/>
      <c r="D68" s="217"/>
      <c r="E68" s="218"/>
      <c r="F68" s="216"/>
      <c r="G68" s="219"/>
      <c r="H68" s="220"/>
      <c r="I68" s="220"/>
      <c r="J68" s="221"/>
      <c r="K68" s="222"/>
      <c r="L68" s="221"/>
      <c r="M68" s="222"/>
      <c r="N68" s="223"/>
      <c r="O68" s="224"/>
      <c r="U68" s="226"/>
    </row>
    <row r="69" spans="1:21" s="13" customFormat="1" ht="15.75" customHeight="1">
      <c r="A69" s="146"/>
      <c r="B69" s="142" t="s">
        <v>63</v>
      </c>
      <c r="C69" s="146"/>
      <c r="D69" s="143" t="s">
        <v>50</v>
      </c>
      <c r="E69" s="143" t="s">
        <v>214</v>
      </c>
      <c r="F69" s="146"/>
      <c r="G69" s="146"/>
      <c r="H69" s="146"/>
      <c r="I69" s="144">
        <f>+I70+I82+I88</f>
        <v>0</v>
      </c>
      <c r="J69" s="146"/>
      <c r="K69" s="145" t="e">
        <f>#REF!+#REF!+#REF!+K70+#REF!+K88+#REF!+#REF!</f>
        <v>#VALUE!</v>
      </c>
      <c r="L69" s="146"/>
      <c r="M69" s="145" t="e">
        <f>#REF!+#REF!+#REF!+M70+#REF!+M88+#REF!+#REF!</f>
        <v>#VALUE!</v>
      </c>
      <c r="N69" s="146"/>
      <c r="O69" s="146"/>
      <c r="P69" s="143" t="s">
        <v>112</v>
      </c>
      <c r="Q69" s="146"/>
      <c r="R69" s="146"/>
      <c r="S69" s="146"/>
      <c r="T69" s="146"/>
      <c r="U69" s="194"/>
    </row>
    <row r="70" spans="1:22" s="13" customFormat="1" ht="13.5" customHeight="1">
      <c r="A70" s="146"/>
      <c r="B70" s="147" t="s">
        <v>63</v>
      </c>
      <c r="C70" s="146"/>
      <c r="D70" s="148" t="s">
        <v>215</v>
      </c>
      <c r="E70" s="148" t="s">
        <v>216</v>
      </c>
      <c r="F70" s="146"/>
      <c r="G70" s="146"/>
      <c r="H70" s="146"/>
      <c r="I70" s="149">
        <f>SUM(I71:I80)</f>
        <v>0</v>
      </c>
      <c r="J70" s="146"/>
      <c r="K70" s="150">
        <f>SUM(K74:K80)</f>
        <v>1.8045600000000002</v>
      </c>
      <c r="L70" s="146"/>
      <c r="M70" s="150">
        <f>SUM(M74:M80)</f>
        <v>0</v>
      </c>
      <c r="N70" s="146"/>
      <c r="O70" s="146"/>
      <c r="P70" s="148" t="s">
        <v>115</v>
      </c>
      <c r="Q70" s="146"/>
      <c r="R70" s="146"/>
      <c r="S70" s="146"/>
      <c r="T70" s="146"/>
      <c r="U70" s="194"/>
      <c r="V70" s="195">
        <f>SUM(V71:V79)</f>
        <v>1.2730545</v>
      </c>
    </row>
    <row r="71" spans="1:24" s="13" customFormat="1" ht="15.75" customHeight="1">
      <c r="A71" s="179">
        <v>50</v>
      </c>
      <c r="B71" s="179" t="s">
        <v>116</v>
      </c>
      <c r="C71" s="179" t="s">
        <v>215</v>
      </c>
      <c r="D71" s="193" t="s">
        <v>217</v>
      </c>
      <c r="E71" s="227" t="s">
        <v>218</v>
      </c>
      <c r="F71" s="179" t="s">
        <v>124</v>
      </c>
      <c r="G71" s="182">
        <v>33</v>
      </c>
      <c r="H71" s="183"/>
      <c r="I71" s="183">
        <f aca="true" t="shared" si="15" ref="I71:I80">ROUND(G71*H71,2)</f>
        <v>0</v>
      </c>
      <c r="J71" s="184">
        <v>0.00658</v>
      </c>
      <c r="K71" s="185">
        <f aca="true" t="shared" si="16" ref="K71:K80">G71*J71</f>
        <v>0.21714</v>
      </c>
      <c r="L71" s="184">
        <v>0</v>
      </c>
      <c r="M71" s="185">
        <f aca="true" t="shared" si="17" ref="M71:M80">G71*L71</f>
        <v>0</v>
      </c>
      <c r="N71" s="186">
        <v>21</v>
      </c>
      <c r="O71" s="187">
        <v>16</v>
      </c>
      <c r="P71" s="13" t="s">
        <v>120</v>
      </c>
      <c r="U71" s="188">
        <v>0.00407</v>
      </c>
      <c r="V71" s="188">
        <f aca="true" t="shared" si="18" ref="V71:V79">G71*U71</f>
        <v>0.13430999999999998</v>
      </c>
      <c r="W71" s="198"/>
      <c r="X71" s="198"/>
    </row>
    <row r="72" spans="1:24" s="13" customFormat="1" ht="13.5" customHeight="1">
      <c r="A72" s="179">
        <v>51</v>
      </c>
      <c r="B72" s="179" t="s">
        <v>116</v>
      </c>
      <c r="C72" s="179" t="s">
        <v>215</v>
      </c>
      <c r="D72" s="193" t="s">
        <v>219</v>
      </c>
      <c r="E72" s="227" t="s">
        <v>220</v>
      </c>
      <c r="F72" s="179" t="s">
        <v>124</v>
      </c>
      <c r="G72" s="182">
        <v>74</v>
      </c>
      <c r="H72" s="183"/>
      <c r="I72" s="183">
        <f t="shared" si="15"/>
        <v>0</v>
      </c>
      <c r="J72" s="184">
        <v>0.00776</v>
      </c>
      <c r="K72" s="185">
        <f t="shared" si="16"/>
        <v>0.5742400000000001</v>
      </c>
      <c r="L72" s="184">
        <v>0</v>
      </c>
      <c r="M72" s="185">
        <f t="shared" si="17"/>
        <v>0</v>
      </c>
      <c r="N72" s="186">
        <v>21</v>
      </c>
      <c r="O72" s="187">
        <v>16</v>
      </c>
      <c r="P72" s="13" t="s">
        <v>120</v>
      </c>
      <c r="U72" s="188">
        <v>0.00408</v>
      </c>
      <c r="V72" s="188">
        <f t="shared" si="18"/>
        <v>0.30192</v>
      </c>
      <c r="W72" s="198"/>
      <c r="X72" s="198"/>
    </row>
    <row r="73" spans="1:24" s="13" customFormat="1" ht="15.75" customHeight="1">
      <c r="A73" s="179">
        <v>52</v>
      </c>
      <c r="B73" s="179" t="s">
        <v>116</v>
      </c>
      <c r="C73" s="179" t="s">
        <v>215</v>
      </c>
      <c r="D73" s="193" t="s">
        <v>221</v>
      </c>
      <c r="E73" s="227" t="s">
        <v>222</v>
      </c>
      <c r="F73" s="179" t="s">
        <v>124</v>
      </c>
      <c r="G73" s="182">
        <v>43</v>
      </c>
      <c r="H73" s="183"/>
      <c r="I73" s="183">
        <f t="shared" si="15"/>
        <v>0</v>
      </c>
      <c r="J73" s="184">
        <v>0.00797</v>
      </c>
      <c r="K73" s="185">
        <f t="shared" si="16"/>
        <v>0.34270999999999996</v>
      </c>
      <c r="L73" s="184">
        <v>0</v>
      </c>
      <c r="M73" s="185">
        <f t="shared" si="17"/>
        <v>0</v>
      </c>
      <c r="N73" s="186">
        <v>21</v>
      </c>
      <c r="O73" s="187">
        <v>16</v>
      </c>
      <c r="P73" s="13" t="s">
        <v>120</v>
      </c>
      <c r="U73" s="188">
        <v>0.00301</v>
      </c>
      <c r="V73" s="188">
        <f t="shared" si="18"/>
        <v>0.12943000000000002</v>
      </c>
      <c r="W73" s="198"/>
      <c r="X73" s="198"/>
    </row>
    <row r="74" spans="1:24" s="13" customFormat="1" ht="15.75" customHeight="1">
      <c r="A74" s="179">
        <v>50</v>
      </c>
      <c r="B74" s="179" t="s">
        <v>116</v>
      </c>
      <c r="C74" s="179" t="s">
        <v>215</v>
      </c>
      <c r="D74" s="193" t="s">
        <v>223</v>
      </c>
      <c r="E74" s="227" t="s">
        <v>224</v>
      </c>
      <c r="F74" s="179" t="s">
        <v>124</v>
      </c>
      <c r="G74" s="182">
        <v>25</v>
      </c>
      <c r="H74" s="183"/>
      <c r="I74" s="183">
        <f t="shared" si="15"/>
        <v>0</v>
      </c>
      <c r="J74" s="184">
        <v>0.00658</v>
      </c>
      <c r="K74" s="185">
        <f t="shared" si="16"/>
        <v>0.1645</v>
      </c>
      <c r="L74" s="184">
        <v>0</v>
      </c>
      <c r="M74" s="185">
        <f t="shared" si="17"/>
        <v>0</v>
      </c>
      <c r="N74" s="186">
        <v>21</v>
      </c>
      <c r="O74" s="187">
        <v>16</v>
      </c>
      <c r="P74" s="13" t="s">
        <v>120</v>
      </c>
      <c r="U74" s="188">
        <v>0.00407</v>
      </c>
      <c r="V74" s="188">
        <f t="shared" si="18"/>
        <v>0.10175</v>
      </c>
      <c r="W74" s="198"/>
      <c r="X74" s="198"/>
    </row>
    <row r="75" spans="1:24" s="13" customFormat="1" ht="15.75" customHeight="1">
      <c r="A75" s="179">
        <v>50</v>
      </c>
      <c r="B75" s="179" t="s">
        <v>116</v>
      </c>
      <c r="C75" s="179" t="s">
        <v>215</v>
      </c>
      <c r="D75" s="193" t="s">
        <v>223</v>
      </c>
      <c r="E75" s="227" t="s">
        <v>225</v>
      </c>
      <c r="F75" s="179" t="s">
        <v>124</v>
      </c>
      <c r="G75" s="182">
        <v>108</v>
      </c>
      <c r="H75" s="183"/>
      <c r="I75" s="183">
        <f t="shared" si="15"/>
        <v>0</v>
      </c>
      <c r="J75" s="184">
        <v>0.00658</v>
      </c>
      <c r="K75" s="185">
        <f t="shared" si="16"/>
        <v>0.7106399999999999</v>
      </c>
      <c r="L75" s="184">
        <v>0</v>
      </c>
      <c r="M75" s="185">
        <f t="shared" si="17"/>
        <v>0</v>
      </c>
      <c r="N75" s="186">
        <v>21</v>
      </c>
      <c r="O75" s="187">
        <v>16</v>
      </c>
      <c r="P75" s="13" t="s">
        <v>120</v>
      </c>
      <c r="U75" s="188">
        <v>0.00407</v>
      </c>
      <c r="V75" s="188">
        <f t="shared" si="18"/>
        <v>0.43956</v>
      </c>
      <c r="W75" s="198"/>
      <c r="X75" s="198"/>
    </row>
    <row r="76" spans="1:24" s="13" customFormat="1" ht="13.5" customHeight="1">
      <c r="A76" s="179">
        <v>54</v>
      </c>
      <c r="B76" s="179" t="s">
        <v>116</v>
      </c>
      <c r="C76" s="179" t="s">
        <v>215</v>
      </c>
      <c r="D76" s="228" t="s">
        <v>226</v>
      </c>
      <c r="E76" s="190" t="s">
        <v>227</v>
      </c>
      <c r="F76" s="229" t="s">
        <v>124</v>
      </c>
      <c r="G76" s="192">
        <v>25.5</v>
      </c>
      <c r="H76" s="197"/>
      <c r="I76" s="197">
        <f t="shared" si="15"/>
        <v>0</v>
      </c>
      <c r="J76" s="221">
        <v>0.0037</v>
      </c>
      <c r="K76" s="222">
        <f t="shared" si="16"/>
        <v>0.09435</v>
      </c>
      <c r="L76" s="221">
        <v>0</v>
      </c>
      <c r="M76" s="222">
        <f t="shared" si="17"/>
        <v>0</v>
      </c>
      <c r="N76" s="223">
        <v>21</v>
      </c>
      <c r="O76" s="224">
        <v>16</v>
      </c>
      <c r="P76" s="225" t="s">
        <v>120</v>
      </c>
      <c r="Q76" s="225"/>
      <c r="R76" s="225"/>
      <c r="S76" s="225"/>
      <c r="T76" s="225"/>
      <c r="U76" s="230">
        <v>0.0025</v>
      </c>
      <c r="V76" s="188">
        <f t="shared" si="18"/>
        <v>0.06375</v>
      </c>
      <c r="W76" s="198"/>
      <c r="X76" s="198"/>
    </row>
    <row r="77" spans="1:24" s="13" customFormat="1" ht="23.25" customHeight="1">
      <c r="A77" s="179">
        <v>51</v>
      </c>
      <c r="B77" s="179" t="s">
        <v>116</v>
      </c>
      <c r="C77" s="179" t="s">
        <v>215</v>
      </c>
      <c r="D77" s="200" t="s">
        <v>219</v>
      </c>
      <c r="E77" s="227" t="s">
        <v>228</v>
      </c>
      <c r="F77" s="179" t="s">
        <v>124</v>
      </c>
      <c r="G77" s="182">
        <v>2</v>
      </c>
      <c r="H77" s="183"/>
      <c r="I77" s="183">
        <f t="shared" si="15"/>
        <v>0</v>
      </c>
      <c r="J77" s="184">
        <v>0.00776</v>
      </c>
      <c r="K77" s="185">
        <f t="shared" si="16"/>
        <v>0.01552</v>
      </c>
      <c r="L77" s="184">
        <v>0</v>
      </c>
      <c r="M77" s="185">
        <f t="shared" si="17"/>
        <v>0</v>
      </c>
      <c r="N77" s="186">
        <v>21</v>
      </c>
      <c r="O77" s="187">
        <v>16</v>
      </c>
      <c r="P77" s="13" t="s">
        <v>120</v>
      </c>
      <c r="U77" s="188">
        <v>0.00408</v>
      </c>
      <c r="V77" s="188">
        <f t="shared" si="18"/>
        <v>0.00816</v>
      </c>
      <c r="W77" s="198"/>
      <c r="X77" s="198"/>
    </row>
    <row r="78" spans="1:24" s="13" customFormat="1" ht="15.75" customHeight="1">
      <c r="A78" s="179">
        <v>53</v>
      </c>
      <c r="B78" s="179" t="s">
        <v>116</v>
      </c>
      <c r="C78" s="179" t="s">
        <v>215</v>
      </c>
      <c r="D78" s="193" t="s">
        <v>229</v>
      </c>
      <c r="E78" s="227" t="s">
        <v>230</v>
      </c>
      <c r="F78" s="179" t="s">
        <v>124</v>
      </c>
      <c r="G78" s="182">
        <v>3.2</v>
      </c>
      <c r="H78" s="183"/>
      <c r="I78" s="183">
        <f t="shared" si="15"/>
        <v>0</v>
      </c>
      <c r="J78" s="184">
        <v>0</v>
      </c>
      <c r="K78" s="185">
        <f t="shared" si="16"/>
        <v>0</v>
      </c>
      <c r="L78" s="184">
        <v>0</v>
      </c>
      <c r="M78" s="185">
        <f t="shared" si="17"/>
        <v>0</v>
      </c>
      <c r="N78" s="186">
        <v>21</v>
      </c>
      <c r="O78" s="187">
        <v>16</v>
      </c>
      <c r="P78" s="13" t="s">
        <v>120</v>
      </c>
      <c r="U78" s="188">
        <v>0.00458</v>
      </c>
      <c r="V78" s="188">
        <f t="shared" si="18"/>
        <v>0.014656</v>
      </c>
      <c r="W78" s="198"/>
      <c r="X78" s="198"/>
    </row>
    <row r="79" spans="1:24" s="13" customFormat="1" ht="13.5" customHeight="1">
      <c r="A79" s="179">
        <v>54</v>
      </c>
      <c r="B79" s="179" t="s">
        <v>116</v>
      </c>
      <c r="C79" s="179" t="s">
        <v>215</v>
      </c>
      <c r="D79" s="193" t="s">
        <v>231</v>
      </c>
      <c r="E79" s="212" t="s">
        <v>232</v>
      </c>
      <c r="F79" s="179" t="s">
        <v>124</v>
      </c>
      <c r="G79" s="182">
        <v>221.5</v>
      </c>
      <c r="H79" s="197"/>
      <c r="I79" s="183">
        <f t="shared" si="15"/>
        <v>0</v>
      </c>
      <c r="J79" s="184">
        <v>0.0037</v>
      </c>
      <c r="K79" s="185">
        <f t="shared" si="16"/>
        <v>0.81955</v>
      </c>
      <c r="L79" s="184">
        <v>0</v>
      </c>
      <c r="M79" s="185">
        <f t="shared" si="17"/>
        <v>0</v>
      </c>
      <c r="N79" s="186">
        <v>21</v>
      </c>
      <c r="O79" s="187">
        <v>16</v>
      </c>
      <c r="P79" s="13" t="s">
        <v>120</v>
      </c>
      <c r="U79" s="188">
        <f>0.00359*0.1</f>
        <v>0.000359</v>
      </c>
      <c r="V79" s="188">
        <f t="shared" si="18"/>
        <v>0.0795185</v>
      </c>
      <c r="W79" s="198"/>
      <c r="X79" s="198"/>
    </row>
    <row r="80" spans="1:24" s="13" customFormat="1" ht="13.5" customHeight="1">
      <c r="A80" s="179">
        <v>55</v>
      </c>
      <c r="B80" s="179" t="s">
        <v>116</v>
      </c>
      <c r="C80" s="179" t="s">
        <v>215</v>
      </c>
      <c r="D80" s="193" t="s">
        <v>233</v>
      </c>
      <c r="E80" s="212" t="s">
        <v>234</v>
      </c>
      <c r="F80" s="179" t="s">
        <v>46</v>
      </c>
      <c r="G80" s="192"/>
      <c r="H80" s="183">
        <f>SUM(I71:I79)/100</f>
        <v>0</v>
      </c>
      <c r="I80" s="183">
        <f t="shared" si="15"/>
        <v>0</v>
      </c>
      <c r="J80" s="184">
        <v>0.006</v>
      </c>
      <c r="K80" s="185">
        <f t="shared" si="16"/>
        <v>0</v>
      </c>
      <c r="L80" s="184">
        <v>0</v>
      </c>
      <c r="M80" s="185">
        <f t="shared" si="17"/>
        <v>0</v>
      </c>
      <c r="N80" s="186">
        <v>21</v>
      </c>
      <c r="O80" s="187">
        <v>16</v>
      </c>
      <c r="P80" s="13" t="s">
        <v>120</v>
      </c>
      <c r="U80" s="188"/>
      <c r="V80" s="198"/>
      <c r="W80" s="198"/>
      <c r="X80" s="198"/>
    </row>
    <row r="81" spans="4:21" s="13" customFormat="1" ht="13.5" customHeight="1">
      <c r="D81" s="206"/>
      <c r="E81" s="231"/>
      <c r="G81" s="232"/>
      <c r="P81" s="206"/>
      <c r="Q81" s="206"/>
      <c r="R81" s="206"/>
      <c r="S81" s="206"/>
      <c r="U81" s="194"/>
    </row>
    <row r="82" spans="1:21" s="13" customFormat="1" ht="13.5" customHeight="1">
      <c r="A82" s="146"/>
      <c r="B82" s="147" t="s">
        <v>63</v>
      </c>
      <c r="C82" s="146"/>
      <c r="D82" s="148">
        <v>766</v>
      </c>
      <c r="E82" s="148" t="s">
        <v>235</v>
      </c>
      <c r="F82" s="146"/>
      <c r="G82" s="146"/>
      <c r="H82" s="146"/>
      <c r="I82" s="149">
        <f>SUM(I83:I86)</f>
        <v>0</v>
      </c>
      <c r="J82" s="146"/>
      <c r="K82" s="150">
        <f>SUM(K83:K86)</f>
        <v>0.00125</v>
      </c>
      <c r="L82" s="146"/>
      <c r="M82" s="150">
        <f>SUM(M83:M86)</f>
        <v>0.01</v>
      </c>
      <c r="N82" s="146"/>
      <c r="O82" s="146"/>
      <c r="P82" s="148" t="s">
        <v>115</v>
      </c>
      <c r="Q82" s="146"/>
      <c r="R82" s="146"/>
      <c r="S82" s="146"/>
      <c r="T82" s="146"/>
      <c r="U82" s="194"/>
    </row>
    <row r="83" spans="1:21" s="13" customFormat="1" ht="26.25" customHeight="1">
      <c r="A83" s="179">
        <v>56</v>
      </c>
      <c r="B83" s="179" t="s">
        <v>116</v>
      </c>
      <c r="C83" s="179">
        <v>766</v>
      </c>
      <c r="D83" s="180"/>
      <c r="E83" s="227" t="s">
        <v>236</v>
      </c>
      <c r="F83" s="179" t="s">
        <v>122</v>
      </c>
      <c r="G83" s="233">
        <v>1</v>
      </c>
      <c r="H83" s="197"/>
      <c r="I83" s="183">
        <f aca="true" t="shared" si="19" ref="I83:I86">ROUND(G83*H83,2)</f>
        <v>0</v>
      </c>
      <c r="J83" s="184">
        <v>0.00025</v>
      </c>
      <c r="K83" s="185">
        <f aca="true" t="shared" si="20" ref="K83:K86">G83*J83</f>
        <v>0.00025</v>
      </c>
      <c r="L83" s="184">
        <v>0.002</v>
      </c>
      <c r="M83" s="185">
        <f aca="true" t="shared" si="21" ref="M83:M86">G83*L83</f>
        <v>0.002</v>
      </c>
      <c r="N83" s="186">
        <v>21</v>
      </c>
      <c r="O83" s="187">
        <v>16</v>
      </c>
      <c r="P83" s="13" t="s">
        <v>120</v>
      </c>
      <c r="U83" s="194"/>
    </row>
    <row r="84" spans="1:21" s="13" customFormat="1" ht="22.5" customHeight="1">
      <c r="A84" s="179">
        <v>57</v>
      </c>
      <c r="B84" s="179" t="s">
        <v>116</v>
      </c>
      <c r="C84" s="179">
        <v>766</v>
      </c>
      <c r="D84" s="180"/>
      <c r="E84" s="212" t="s">
        <v>237</v>
      </c>
      <c r="F84" s="179" t="s">
        <v>122</v>
      </c>
      <c r="G84" s="233">
        <v>4</v>
      </c>
      <c r="H84" s="197"/>
      <c r="I84" s="183">
        <f t="shared" si="19"/>
        <v>0</v>
      </c>
      <c r="J84" s="184">
        <v>0.00025</v>
      </c>
      <c r="K84" s="185">
        <f t="shared" si="20"/>
        <v>0.001</v>
      </c>
      <c r="L84" s="184">
        <v>0.002</v>
      </c>
      <c r="M84" s="185">
        <f t="shared" si="21"/>
        <v>0.008</v>
      </c>
      <c r="N84" s="186">
        <v>21</v>
      </c>
      <c r="O84" s="187">
        <v>16</v>
      </c>
      <c r="P84" s="13" t="s">
        <v>120</v>
      </c>
      <c r="U84" s="194"/>
    </row>
    <row r="85" spans="1:21" s="241" customFormat="1" ht="22.5" customHeight="1">
      <c r="A85" s="179">
        <v>58</v>
      </c>
      <c r="B85" s="191"/>
      <c r="C85" s="191"/>
      <c r="D85" s="234"/>
      <c r="E85" s="227" t="s">
        <v>238</v>
      </c>
      <c r="F85" s="191" t="s">
        <v>122</v>
      </c>
      <c r="G85" s="233">
        <v>3</v>
      </c>
      <c r="H85" s="235"/>
      <c r="I85" s="236">
        <f t="shared" si="19"/>
        <v>0</v>
      </c>
      <c r="J85" s="237">
        <v>0</v>
      </c>
      <c r="K85" s="238">
        <f t="shared" si="20"/>
        <v>0</v>
      </c>
      <c r="L85" s="237">
        <v>0</v>
      </c>
      <c r="M85" s="238">
        <f t="shared" si="21"/>
        <v>0</v>
      </c>
      <c r="N85" s="239">
        <v>21</v>
      </c>
      <c r="O85" s="240">
        <v>8</v>
      </c>
      <c r="P85" s="241" t="s">
        <v>120</v>
      </c>
      <c r="U85" s="242"/>
    </row>
    <row r="86" spans="1:21" s="13" customFormat="1" ht="13.5" customHeight="1">
      <c r="A86" s="179">
        <v>59</v>
      </c>
      <c r="B86" s="179" t="s">
        <v>116</v>
      </c>
      <c r="C86" s="179" t="s">
        <v>215</v>
      </c>
      <c r="D86" s="193" t="s">
        <v>239</v>
      </c>
      <c r="E86" s="227" t="s">
        <v>240</v>
      </c>
      <c r="F86" s="179" t="s">
        <v>46</v>
      </c>
      <c r="G86" s="182"/>
      <c r="H86" s="183">
        <f>SUM(I83:I85)/100</f>
        <v>0</v>
      </c>
      <c r="I86" s="183">
        <f t="shared" si="19"/>
        <v>0</v>
      </c>
      <c r="J86" s="184">
        <v>0.006</v>
      </c>
      <c r="K86" s="185">
        <f t="shared" si="20"/>
        <v>0</v>
      </c>
      <c r="L86" s="184">
        <v>0</v>
      </c>
      <c r="M86" s="185">
        <f t="shared" si="21"/>
        <v>0</v>
      </c>
      <c r="N86" s="186">
        <v>21</v>
      </c>
      <c r="O86" s="187">
        <v>16</v>
      </c>
      <c r="P86" s="13" t="s">
        <v>120</v>
      </c>
      <c r="U86" s="194"/>
    </row>
    <row r="87" spans="1:21" s="13" customFormat="1" ht="15.75" customHeight="1">
      <c r="A87" s="243"/>
      <c r="B87" s="243"/>
      <c r="C87" s="243"/>
      <c r="D87" s="244"/>
      <c r="E87" s="245"/>
      <c r="F87" s="243"/>
      <c r="G87" s="246"/>
      <c r="H87" s="247"/>
      <c r="I87" s="247"/>
      <c r="J87" s="248"/>
      <c r="K87" s="246"/>
      <c r="L87" s="248"/>
      <c r="M87" s="246"/>
      <c r="N87" s="249"/>
      <c r="O87" s="250"/>
      <c r="P87" s="244"/>
      <c r="U87" s="194"/>
    </row>
    <row r="88" spans="1:22" s="13" customFormat="1" ht="13.5" customHeight="1">
      <c r="A88" s="146"/>
      <c r="B88" s="147" t="s">
        <v>63</v>
      </c>
      <c r="C88" s="146"/>
      <c r="D88" s="148">
        <v>782</v>
      </c>
      <c r="E88" s="251" t="s">
        <v>241</v>
      </c>
      <c r="F88" s="146"/>
      <c r="G88" s="146"/>
      <c r="H88" s="146"/>
      <c r="I88" s="149">
        <f>SUM(I89:I94)</f>
        <v>0</v>
      </c>
      <c r="J88" s="146"/>
      <c r="K88" s="150">
        <f>SUM(K89:K94)</f>
        <v>0</v>
      </c>
      <c r="L88" s="146"/>
      <c r="M88" s="150">
        <f>SUM(M89:M94)</f>
        <v>0</v>
      </c>
      <c r="N88" s="146"/>
      <c r="O88" s="146"/>
      <c r="P88" s="148" t="s">
        <v>115</v>
      </c>
      <c r="Q88" s="146"/>
      <c r="R88" s="146"/>
      <c r="S88" s="146"/>
      <c r="T88" s="146"/>
      <c r="U88" s="194"/>
      <c r="V88" s="195">
        <f>SUM(V89:V92)</f>
        <v>1.4051756899999996</v>
      </c>
    </row>
    <row r="89" spans="1:24" s="13" customFormat="1" ht="24.75" customHeight="1">
      <c r="A89" s="179">
        <v>60</v>
      </c>
      <c r="B89" s="179" t="s">
        <v>116</v>
      </c>
      <c r="C89" s="179">
        <v>782</v>
      </c>
      <c r="D89" s="180"/>
      <c r="E89" s="227" t="s">
        <v>242</v>
      </c>
      <c r="F89" s="191" t="s">
        <v>119</v>
      </c>
      <c r="G89" s="182">
        <v>7</v>
      </c>
      <c r="H89" s="183"/>
      <c r="I89" s="183">
        <f aca="true" t="shared" si="22" ref="I89:I93">ROUND(G89*H89,2)</f>
        <v>0</v>
      </c>
      <c r="J89" s="184">
        <v>0</v>
      </c>
      <c r="K89" s="185">
        <f aca="true" t="shared" si="23" ref="K89:K93">G89*J89</f>
        <v>0</v>
      </c>
      <c r="L89" s="184">
        <v>0</v>
      </c>
      <c r="M89" s="185">
        <f aca="true" t="shared" si="24" ref="M89:M93">G89*L89</f>
        <v>0</v>
      </c>
      <c r="N89" s="186">
        <v>21</v>
      </c>
      <c r="O89" s="187">
        <v>16</v>
      </c>
      <c r="P89" s="13" t="s">
        <v>120</v>
      </c>
      <c r="U89" s="188">
        <v>0.005</v>
      </c>
      <c r="V89" s="188">
        <f aca="true" t="shared" si="25" ref="V89:V92">G89*U89</f>
        <v>0.035</v>
      </c>
      <c r="W89" s="198"/>
      <c r="X89" s="198"/>
    </row>
    <row r="90" spans="1:24" s="13" customFormat="1" ht="33.75" customHeight="1">
      <c r="A90" s="179">
        <v>61</v>
      </c>
      <c r="B90" s="179" t="s">
        <v>116</v>
      </c>
      <c r="C90" s="179">
        <v>782</v>
      </c>
      <c r="D90" s="252" t="s">
        <v>243</v>
      </c>
      <c r="E90" s="227" t="s">
        <v>244</v>
      </c>
      <c r="F90" s="191" t="s">
        <v>119</v>
      </c>
      <c r="G90" s="182">
        <v>70.737</v>
      </c>
      <c r="H90" s="183"/>
      <c r="I90" s="183">
        <f t="shared" si="22"/>
        <v>0</v>
      </c>
      <c r="J90" s="184">
        <v>0</v>
      </c>
      <c r="K90" s="185">
        <f t="shared" si="23"/>
        <v>0</v>
      </c>
      <c r="L90" s="184">
        <v>0</v>
      </c>
      <c r="M90" s="185">
        <f t="shared" si="24"/>
        <v>0</v>
      </c>
      <c r="N90" s="186">
        <v>21</v>
      </c>
      <c r="O90" s="187">
        <v>16</v>
      </c>
      <c r="P90" s="13" t="s">
        <v>120</v>
      </c>
      <c r="U90" s="188">
        <v>0.01902</v>
      </c>
      <c r="V90" s="188">
        <f t="shared" si="25"/>
        <v>1.3454177399999998</v>
      </c>
      <c r="W90" s="198"/>
      <c r="X90" s="198"/>
    </row>
    <row r="91" spans="1:24" s="13" customFormat="1" ht="15.75" customHeight="1">
      <c r="A91" s="179">
        <v>62</v>
      </c>
      <c r="B91" s="179" t="s">
        <v>116</v>
      </c>
      <c r="C91" s="179">
        <v>782</v>
      </c>
      <c r="D91" s="193" t="s">
        <v>245</v>
      </c>
      <c r="E91" s="227" t="s">
        <v>246</v>
      </c>
      <c r="F91" s="191" t="s">
        <v>119</v>
      </c>
      <c r="G91" s="182">
        <v>70.737</v>
      </c>
      <c r="H91" s="183"/>
      <c r="I91" s="183">
        <f t="shared" si="22"/>
        <v>0</v>
      </c>
      <c r="J91" s="184">
        <v>0</v>
      </c>
      <c r="K91" s="185">
        <f t="shared" si="23"/>
        <v>0</v>
      </c>
      <c r="L91" s="184">
        <v>0</v>
      </c>
      <c r="M91" s="185">
        <f t="shared" si="24"/>
        <v>0</v>
      </c>
      <c r="N91" s="186">
        <v>21</v>
      </c>
      <c r="O91" s="187">
        <v>16</v>
      </c>
      <c r="P91" s="13" t="s">
        <v>120</v>
      </c>
      <c r="U91" s="188"/>
      <c r="V91" s="188">
        <f t="shared" si="25"/>
        <v>0</v>
      </c>
      <c r="W91" s="198"/>
      <c r="X91" s="198"/>
    </row>
    <row r="92" spans="1:24" s="13" customFormat="1" ht="15.75" customHeight="1">
      <c r="A92" s="179">
        <v>63</v>
      </c>
      <c r="B92" s="179" t="s">
        <v>116</v>
      </c>
      <c r="C92" s="179">
        <v>782</v>
      </c>
      <c r="D92" s="193" t="s">
        <v>247</v>
      </c>
      <c r="E92" s="227" t="s">
        <v>248</v>
      </c>
      <c r="F92" s="191" t="s">
        <v>119</v>
      </c>
      <c r="G92" s="182">
        <v>70.737</v>
      </c>
      <c r="H92" s="183"/>
      <c r="I92" s="183">
        <f t="shared" si="22"/>
        <v>0</v>
      </c>
      <c r="J92" s="184">
        <v>0</v>
      </c>
      <c r="K92" s="185">
        <f t="shared" si="23"/>
        <v>0</v>
      </c>
      <c r="L92" s="184">
        <v>0</v>
      </c>
      <c r="M92" s="185">
        <f t="shared" si="24"/>
        <v>0</v>
      </c>
      <c r="N92" s="186">
        <v>21</v>
      </c>
      <c r="O92" s="187">
        <v>16</v>
      </c>
      <c r="P92" s="13" t="s">
        <v>120</v>
      </c>
      <c r="U92" s="188">
        <v>0.00035</v>
      </c>
      <c r="V92" s="188">
        <f t="shared" si="25"/>
        <v>0.024757949999999997</v>
      </c>
      <c r="W92" s="198"/>
      <c r="X92" s="198"/>
    </row>
    <row r="93" spans="1:24" s="13" customFormat="1" ht="13.5" customHeight="1">
      <c r="A93" s="179">
        <v>64</v>
      </c>
      <c r="B93" s="179" t="s">
        <v>116</v>
      </c>
      <c r="C93" s="179">
        <v>782</v>
      </c>
      <c r="D93" s="193" t="s">
        <v>249</v>
      </c>
      <c r="E93" s="227" t="s">
        <v>250</v>
      </c>
      <c r="F93" s="179" t="s">
        <v>46</v>
      </c>
      <c r="G93" s="182"/>
      <c r="H93" s="183">
        <f>SUM(I89:I92)/100</f>
        <v>0</v>
      </c>
      <c r="I93" s="183">
        <f t="shared" si="22"/>
        <v>0</v>
      </c>
      <c r="J93" s="184">
        <v>0.006</v>
      </c>
      <c r="K93" s="185">
        <f t="shared" si="23"/>
        <v>0</v>
      </c>
      <c r="L93" s="184">
        <v>0</v>
      </c>
      <c r="M93" s="185">
        <f t="shared" si="24"/>
        <v>0</v>
      </c>
      <c r="N93" s="186">
        <v>21</v>
      </c>
      <c r="O93" s="187">
        <v>16</v>
      </c>
      <c r="P93" s="13" t="s">
        <v>120</v>
      </c>
      <c r="U93" s="188"/>
      <c r="V93" s="198"/>
      <c r="W93" s="198"/>
      <c r="X93" s="198"/>
    </row>
    <row r="94" spans="4:21" s="13" customFormat="1" ht="13.5" customHeight="1">
      <c r="D94" s="206"/>
      <c r="E94" s="231"/>
      <c r="G94" s="232"/>
      <c r="P94" s="206"/>
      <c r="Q94" s="206"/>
      <c r="R94" s="206"/>
      <c r="S94" s="206"/>
      <c r="U94" s="194"/>
    </row>
    <row r="95" spans="1:20" ht="11.25" customHeight="1">
      <c r="A95" s="155"/>
      <c r="B95" s="155"/>
      <c r="C95" s="155"/>
      <c r="D95" s="155"/>
      <c r="E95" s="156" t="s">
        <v>88</v>
      </c>
      <c r="F95" s="155"/>
      <c r="G95" s="155"/>
      <c r="H95" s="155"/>
      <c r="I95" s="157">
        <f>I14+I69</f>
        <v>0</v>
      </c>
      <c r="J95" s="155"/>
      <c r="K95" s="158" t="e">
        <f>K14+K69+#REF!</f>
        <v>#VALUE!</v>
      </c>
      <c r="L95" s="155"/>
      <c r="M95" s="158" t="e">
        <f>M14+M69+#REF!</f>
        <v>#VALUE!</v>
      </c>
      <c r="N95" s="155"/>
      <c r="O95" s="155"/>
      <c r="P95" s="155"/>
      <c r="Q95" s="155"/>
      <c r="R95" s="155"/>
      <c r="S95" s="155"/>
      <c r="T95" s="155"/>
    </row>
  </sheetData>
  <sheetProtection selectLockedCells="1" selectUnlockedCells="1"/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sqref="A1"/>
    </sheetView>
  </sheetViews>
  <sheetFormatPr defaultColWidth="9.140625" defaultRowHeight="12.75" customHeight="1"/>
  <cols>
    <col min="1" max="16384" width="9.00390625" style="253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2018-03-19T08:54:44Z</cp:lastPrinted>
  <dcterms:created xsi:type="dcterms:W3CDTF">2012-11-08T10:22:16Z</dcterms:created>
  <dcterms:modified xsi:type="dcterms:W3CDTF">2018-03-19T08:58:40Z</dcterms:modified>
  <cp:category/>
  <cp:version/>
  <cp:contentType/>
  <cp:contentStatus/>
  <cp:revision>9</cp:revision>
</cp:coreProperties>
</file>